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motivaoy.sharepoint.com/sites/KerrostalonPTStiekartat-KerrotalonPTSsisinen/Jaetut asiakirjat/KerrotalonPTS sisäinen/Tarjous, sopimus_ja raportointi/Loppuraportti liitteineen/"/>
    </mc:Choice>
  </mc:AlternateContent>
  <xr:revisionPtr revIDLastSave="3812" documentId="8_{CACBA1CD-FE5E-424E-9E73-342CB313C7EA}" xr6:coauthVersionLast="47" xr6:coauthVersionMax="47" xr10:uidLastSave="{92EA3726-EE44-4182-8F33-7D9B4890B270}"/>
  <bookViews>
    <workbookView xWindow="-103" yWindow="-103" windowWidth="22149" windowHeight="11829" xr2:uid="{8AFB8A74-4784-4E90-A023-2A83FBD59A31}"/>
  </bookViews>
  <sheets>
    <sheet name="LPTS-ehdotus" sheetId="4" r:id="rId1"/>
    <sheet name="PTS ilman energia-investointeja" sheetId="8" r:id="rId2"/>
    <sheet name="E-luvun laskennan lähtötiedot" sheetId="2" r:id="rId3"/>
    <sheet name="Perusparannusvaiheet" sheetId="9" r:id="rId4"/>
    <sheet name="LPTS etusivunäkymä"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6" l="1"/>
  <c r="D38" i="6"/>
  <c r="E38" i="6"/>
  <c r="F38" i="6"/>
  <c r="G38" i="6"/>
  <c r="C38" i="6"/>
  <c r="B38" i="6"/>
  <c r="B42" i="6"/>
  <c r="P62" i="8"/>
  <c r="O62" i="8"/>
  <c r="N62" i="8"/>
  <c r="F62" i="8"/>
  <c r="G62" i="8"/>
  <c r="H62" i="8"/>
  <c r="I62" i="8" s="1"/>
  <c r="J62" i="8" s="1"/>
  <c r="K62" i="8" s="1"/>
  <c r="L62" i="8" s="1"/>
  <c r="M62" i="8" s="1"/>
  <c r="E62" i="8"/>
  <c r="D62" i="8"/>
  <c r="P58" i="8" l="1"/>
  <c r="E60" i="8"/>
  <c r="E44" i="8" s="1"/>
  <c r="O66" i="4"/>
  <c r="E66" i="4"/>
  <c r="F66" i="4" s="1"/>
  <c r="G66" i="4" s="1"/>
  <c r="H66" i="4" s="1"/>
  <c r="I66" i="4" s="1"/>
  <c r="J66" i="4" s="1"/>
  <c r="K66" i="4" s="1"/>
  <c r="L66" i="4" s="1"/>
  <c r="M66" i="4" s="1"/>
  <c r="N66" i="4" s="1"/>
  <c r="E63" i="4"/>
  <c r="F63" i="4" s="1"/>
  <c r="G56" i="8"/>
  <c r="H56" i="8" s="1"/>
  <c r="C57" i="8"/>
  <c r="D57" i="8"/>
  <c r="E57" i="8" s="1"/>
  <c r="N58" i="8"/>
  <c r="E59" i="8"/>
  <c r="F59" i="8"/>
  <c r="G59" i="8" s="1"/>
  <c r="C60" i="8"/>
  <c r="D60" i="8"/>
  <c r="F60" i="8"/>
  <c r="G60" i="8" s="1"/>
  <c r="H60" i="8" s="1"/>
  <c r="I60" i="8" s="1"/>
  <c r="J60" i="8" s="1"/>
  <c r="K60" i="8" s="1"/>
  <c r="L60" i="8" s="1"/>
  <c r="M60" i="8" s="1"/>
  <c r="N60" i="8" s="1"/>
  <c r="O60" i="8" s="1"/>
  <c r="P60" i="8" s="1"/>
  <c r="D46" i="8"/>
  <c r="D50" i="8"/>
  <c r="C41" i="8"/>
  <c r="D41" i="8"/>
  <c r="E41" i="8"/>
  <c r="F41" i="8"/>
  <c r="G41" i="8"/>
  <c r="H41" i="8"/>
  <c r="I41" i="8"/>
  <c r="J41" i="8"/>
  <c r="K41" i="8"/>
  <c r="L41" i="8"/>
  <c r="M41" i="8"/>
  <c r="N41" i="8"/>
  <c r="O41" i="8"/>
  <c r="P41" i="8"/>
  <c r="C42" i="8"/>
  <c r="D42" i="8"/>
  <c r="E42" i="8"/>
  <c r="F42" i="8"/>
  <c r="G42" i="8"/>
  <c r="H42" i="8"/>
  <c r="I42" i="8"/>
  <c r="J42" i="8"/>
  <c r="K42" i="8"/>
  <c r="L42" i="8"/>
  <c r="M42" i="8"/>
  <c r="N42" i="8"/>
  <c r="O42" i="8"/>
  <c r="P42" i="8"/>
  <c r="C43" i="8"/>
  <c r="D43" i="8"/>
  <c r="D57" i="4" s="1"/>
  <c r="C44" i="8"/>
  <c r="D44" i="8"/>
  <c r="F44" i="8"/>
  <c r="C46" i="8"/>
  <c r="D33" i="8"/>
  <c r="D51" i="8" s="1"/>
  <c r="E51" i="8" s="1"/>
  <c r="F51" i="8" s="1"/>
  <c r="E33" i="8"/>
  <c r="F33" i="8"/>
  <c r="G33" i="8"/>
  <c r="H33" i="8"/>
  <c r="I33" i="8"/>
  <c r="J33" i="8"/>
  <c r="K33" i="8"/>
  <c r="L33" i="8"/>
  <c r="M33" i="8"/>
  <c r="N33" i="8"/>
  <c r="O33" i="8"/>
  <c r="P33" i="8"/>
  <c r="D68" i="4"/>
  <c r="N64" i="4"/>
  <c r="G51" i="8" l="1"/>
  <c r="H51" i="8" s="1"/>
  <c r="I51" i="8" s="1"/>
  <c r="J51" i="8" s="1"/>
  <c r="K51" i="8" s="1"/>
  <c r="L51" i="8" s="1"/>
  <c r="M51" i="8" s="1"/>
  <c r="N51" i="8" s="1"/>
  <c r="O51" i="8" s="1"/>
  <c r="P51" i="8" s="1"/>
  <c r="Q51" i="8" s="1"/>
  <c r="F57" i="8"/>
  <c r="E43" i="8"/>
  <c r="E57" i="4" s="1"/>
  <c r="E50" i="8"/>
  <c r="F47" i="4"/>
  <c r="G63" i="4"/>
  <c r="H63" i="4" s="1"/>
  <c r="I63" i="4" s="1"/>
  <c r="J63" i="4" s="1"/>
  <c r="K63" i="4" s="1"/>
  <c r="L63" i="4" s="1"/>
  <c r="M63" i="4" s="1"/>
  <c r="N63" i="4" s="1"/>
  <c r="O63" i="4" s="1"/>
  <c r="P63" i="4" s="1"/>
  <c r="I56" i="8"/>
  <c r="G44" i="8"/>
  <c r="H59" i="8"/>
  <c r="D45" i="8"/>
  <c r="D52" i="8" s="1"/>
  <c r="E47" i="4"/>
  <c r="E68" i="4"/>
  <c r="F68" i="4" s="1"/>
  <c r="G68" i="4" s="1"/>
  <c r="H68" i="4" s="1"/>
  <c r="I68" i="4" s="1"/>
  <c r="J68" i="4" s="1"/>
  <c r="K68" i="4" s="1"/>
  <c r="L68" i="4" s="1"/>
  <c r="M68" i="4" s="1"/>
  <c r="N68" i="4" s="1"/>
  <c r="H40" i="6"/>
  <c r="H39" i="6"/>
  <c r="G35" i="6"/>
  <c r="F35" i="6"/>
  <c r="E35" i="6"/>
  <c r="D35" i="6"/>
  <c r="C35" i="6"/>
  <c r="P45" i="4"/>
  <c r="P46" i="4"/>
  <c r="E45" i="8" l="1"/>
  <c r="F50" i="8"/>
  <c r="H44" i="8"/>
  <c r="I59" i="8"/>
  <c r="F45" i="8"/>
  <c r="G57" i="8"/>
  <c r="F43" i="8"/>
  <c r="F57" i="4" s="1"/>
  <c r="E46" i="8"/>
  <c r="E52" i="8"/>
  <c r="J56" i="8"/>
  <c r="O68" i="4"/>
  <c r="P68" i="4" s="1"/>
  <c r="C66" i="4"/>
  <c r="C48" i="4" s="1"/>
  <c r="P66" i="4"/>
  <c r="D66" i="4"/>
  <c r="E65" i="4"/>
  <c r="D63" i="4"/>
  <c r="C63" i="4"/>
  <c r="C47" i="4" s="1"/>
  <c r="G62" i="4"/>
  <c r="D50" i="4"/>
  <c r="C43" i="6" s="1"/>
  <c r="C50" i="4"/>
  <c r="B43" i="6" s="1"/>
  <c r="O46" i="4"/>
  <c r="N46" i="4"/>
  <c r="M46" i="4"/>
  <c r="L46" i="4"/>
  <c r="K46" i="4"/>
  <c r="J46" i="4"/>
  <c r="I46" i="4"/>
  <c r="H46" i="4"/>
  <c r="G46" i="4"/>
  <c r="F46" i="4"/>
  <c r="E46" i="4"/>
  <c r="D46" i="4"/>
  <c r="C46" i="4"/>
  <c r="O45" i="4"/>
  <c r="N45" i="4"/>
  <c r="M45" i="4"/>
  <c r="L45" i="4"/>
  <c r="K45" i="4"/>
  <c r="J45" i="4"/>
  <c r="I45" i="4"/>
  <c r="H45" i="4"/>
  <c r="G45" i="4"/>
  <c r="F45" i="4"/>
  <c r="E45" i="4"/>
  <c r="D45" i="4"/>
  <c r="C45" i="4"/>
  <c r="P37" i="4"/>
  <c r="O37" i="4"/>
  <c r="N37" i="4"/>
  <c r="M37" i="4"/>
  <c r="L37" i="4"/>
  <c r="K37" i="4"/>
  <c r="J37" i="4"/>
  <c r="I37" i="4"/>
  <c r="H37" i="4"/>
  <c r="G37" i="4"/>
  <c r="F37" i="4"/>
  <c r="E37" i="4"/>
  <c r="D37" i="4"/>
  <c r="F65" i="4" l="1"/>
  <c r="E48" i="4"/>
  <c r="H57" i="8"/>
  <c r="G43" i="8"/>
  <c r="G57" i="4" s="1"/>
  <c r="F46" i="8"/>
  <c r="I44" i="8"/>
  <c r="J59" i="8"/>
  <c r="K56" i="8"/>
  <c r="F52" i="8"/>
  <c r="H62" i="4"/>
  <c r="D47" i="4"/>
  <c r="D48" i="4"/>
  <c r="E50" i="4"/>
  <c r="D43" i="6" s="1"/>
  <c r="D56" i="4" l="1"/>
  <c r="E56" i="4"/>
  <c r="I57" i="8"/>
  <c r="H43" i="8"/>
  <c r="H57" i="4" s="1"/>
  <c r="H45" i="8"/>
  <c r="G45" i="8"/>
  <c r="G52" i="8" s="1"/>
  <c r="H52" i="8" s="1"/>
  <c r="L56" i="8"/>
  <c r="G50" i="8"/>
  <c r="H50" i="8" s="1"/>
  <c r="G46" i="8"/>
  <c r="J44" i="8"/>
  <c r="K59" i="8"/>
  <c r="G65" i="4"/>
  <c r="H65" i="4" s="1"/>
  <c r="I65" i="4" s="1"/>
  <c r="F48" i="4"/>
  <c r="F56" i="4" s="1"/>
  <c r="D49" i="4"/>
  <c r="C42" i="6" s="1"/>
  <c r="I62" i="4"/>
  <c r="F50" i="4"/>
  <c r="E43" i="6" s="1"/>
  <c r="M56" i="8" l="1"/>
  <c r="I43" i="8"/>
  <c r="I57" i="4" s="1"/>
  <c r="J57" i="8"/>
  <c r="I45" i="8"/>
  <c r="I52" i="8" s="1"/>
  <c r="K44" i="8"/>
  <c r="L59" i="8"/>
  <c r="H46" i="8"/>
  <c r="E49" i="4"/>
  <c r="D42" i="6" s="1"/>
  <c r="F49" i="4"/>
  <c r="E42" i="6" s="1"/>
  <c r="J62" i="4"/>
  <c r="G48" i="4"/>
  <c r="G47" i="4"/>
  <c r="J65" i="4"/>
  <c r="G50" i="4"/>
  <c r="F43" i="6" s="1"/>
  <c r="G49" i="4" l="1"/>
  <c r="F42" i="6" s="1"/>
  <c r="J43" i="8"/>
  <c r="K57" i="8"/>
  <c r="I50" i="8"/>
  <c r="J50" i="8" s="1"/>
  <c r="I46" i="8"/>
  <c r="N56" i="8"/>
  <c r="L44" i="8"/>
  <c r="M59" i="8"/>
  <c r="G56" i="4"/>
  <c r="K62" i="4"/>
  <c r="J47" i="4"/>
  <c r="H50" i="4"/>
  <c r="G43" i="6" s="1"/>
  <c r="K65" i="4"/>
  <c r="J48" i="4"/>
  <c r="H47" i="4"/>
  <c r="I48" i="4"/>
  <c r="H48" i="4"/>
  <c r="J46" i="8" l="1"/>
  <c r="O56" i="8"/>
  <c r="K43" i="8"/>
  <c r="L57" i="8"/>
  <c r="M44" i="8"/>
  <c r="N59" i="8"/>
  <c r="K50" i="8"/>
  <c r="J57" i="4"/>
  <c r="J45" i="8"/>
  <c r="J52" i="8" s="1"/>
  <c r="H56" i="4"/>
  <c r="H49" i="4"/>
  <c r="G42" i="6" s="1"/>
  <c r="I47" i="4"/>
  <c r="I49" i="4" s="1"/>
  <c r="J49" i="4"/>
  <c r="L62" i="4"/>
  <c r="K47" i="4"/>
  <c r="I50" i="4"/>
  <c r="L65" i="4"/>
  <c r="K48" i="4"/>
  <c r="K46" i="8" l="1"/>
  <c r="P56" i="8"/>
  <c r="N44" i="8"/>
  <c r="O59" i="8"/>
  <c r="L43" i="8"/>
  <c r="L50" i="8" s="1"/>
  <c r="M57" i="8"/>
  <c r="K57" i="4"/>
  <c r="K45" i="8"/>
  <c r="K52" i="8" s="1"/>
  <c r="I56" i="4"/>
  <c r="J56" i="4" s="1"/>
  <c r="K56" i="4" s="1"/>
  <c r="K49" i="4"/>
  <c r="M62" i="4"/>
  <c r="N62" i="4" s="1"/>
  <c r="L47" i="4"/>
  <c r="J50" i="4"/>
  <c r="L48" i="4"/>
  <c r="M65" i="4"/>
  <c r="N65" i="4" s="1"/>
  <c r="L46" i="8" l="1"/>
  <c r="O44" i="8"/>
  <c r="P59" i="8"/>
  <c r="P44" i="8" s="1"/>
  <c r="L57" i="4"/>
  <c r="L45" i="8"/>
  <c r="L52" i="8" s="1"/>
  <c r="M43" i="8"/>
  <c r="N57" i="8"/>
  <c r="L56" i="4"/>
  <c r="L49" i="4"/>
  <c r="M47" i="4"/>
  <c r="M48" i="4"/>
  <c r="K50" i="4"/>
  <c r="M57" i="4" l="1"/>
  <c r="M45" i="8"/>
  <c r="M52" i="8" s="1"/>
  <c r="N52" i="8" s="1"/>
  <c r="N43" i="8"/>
  <c r="O57" i="8"/>
  <c r="M46" i="8"/>
  <c r="M50" i="8"/>
  <c r="N50" i="8" s="1"/>
  <c r="M56" i="4"/>
  <c r="M49" i="4"/>
  <c r="L50" i="4"/>
  <c r="N48" i="4"/>
  <c r="N46" i="8" l="1"/>
  <c r="N57" i="4"/>
  <c r="N45" i="8"/>
  <c r="O52" i="8" s="1"/>
  <c r="O43" i="8"/>
  <c r="P57" i="8"/>
  <c r="P43" i="8" s="1"/>
  <c r="O50" i="8"/>
  <c r="P50" i="8" s="1"/>
  <c r="Q50" i="8" s="1"/>
  <c r="N47" i="4"/>
  <c r="N56" i="4" s="1"/>
  <c r="O62" i="4"/>
  <c r="P62" i="4" s="1"/>
  <c r="O65" i="4"/>
  <c r="P65" i="4" s="1"/>
  <c r="M50" i="4"/>
  <c r="P45" i="8" l="1"/>
  <c r="O57" i="4"/>
  <c r="P57" i="4" s="1"/>
  <c r="O45" i="8"/>
  <c r="P52" i="8" s="1"/>
  <c r="Q52" i="8" s="1"/>
  <c r="P46" i="8"/>
  <c r="O46" i="8"/>
  <c r="P48" i="4"/>
  <c r="N49" i="4"/>
  <c r="P47" i="4"/>
  <c r="O47" i="4"/>
  <c r="O48" i="4"/>
  <c r="O56" i="4" l="1"/>
  <c r="P56" i="4" s="1"/>
  <c r="O49" i="4"/>
  <c r="H42" i="6" s="1"/>
  <c r="P49" i="4"/>
  <c r="P50" i="4"/>
  <c r="N50" i="4"/>
  <c r="O50" i="4" l="1"/>
  <c r="H4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tc={7DB01B0E-C140-4F64-9666-9F5C8AA69BD3}</author>
  </authors>
  <commentList>
    <comment ref="A51" authorId="0" shapeId="0" xr:uid="{7DB01B0E-C140-4F64-9666-9F5C8AA69BD3}">
      <text>
        <t>[Threaded comment]
Your version of Excel allows you to read this threaded comment; however, any edits to it will get removed if the file is opened in a newer version of Excel. Learn more: https://go.microsoft.com/fwlink/?linkid=870924
Comment:
    Tähän pitäisi saada lisäksi energiakustannukset. Eli pitäisi laskea energiankulutus vain korjausvelkaa vähentävillä toimilla.</t>
      </text>
    </comment>
  </commentList>
</comments>
</file>

<file path=xl/sharedStrings.xml><?xml version="1.0" encoding="utf-8"?>
<sst xmlns="http://schemas.openxmlformats.org/spreadsheetml/2006/main" count="390" uniqueCount="217">
  <si>
    <t>ESIMERKKI KUNNOSSAPITOSUUNNITELMAEHDOTUKSESTA</t>
  </si>
  <si>
    <t>Kustannusarvio x 1000 € ja arvioitu toteutusvuosi</t>
  </si>
  <si>
    <t>Tarkastuskohde</t>
  </si>
  <si>
    <t>Toimenpide-ehdotus (E-lukuun ja/tai energiakustannuksiin vaikuttavat toimenpiteet sinisellä)</t>
  </si>
  <si>
    <t>2033-2037</t>
  </si>
  <si>
    <t>2038-2042</t>
  </si>
  <si>
    <t>(2043-2050)</t>
  </si>
  <si>
    <t>RAKENNETEKNIIKKA</t>
  </si>
  <si>
    <t>Aluerakenteet</t>
  </si>
  <si>
    <t>Pihatyöt, asfalttityöt, piharakennusten huoltomaalaus</t>
  </si>
  <si>
    <t>Perustukset ja salaojat</t>
  </si>
  <si>
    <t>Salaojien huuhtelu</t>
  </si>
  <si>
    <t>Ulkoseinät ja parvekkeet</t>
  </si>
  <si>
    <t>Julkisivujen paikkavaurioiden korjaus</t>
  </si>
  <si>
    <t>Julkisivut</t>
  </si>
  <si>
    <t>Julkisivusaneerauksen suunnittelu</t>
  </si>
  <si>
    <t>Julkisivusaneeraus ja lisäeristäminen</t>
  </si>
  <si>
    <t>Rakenteet</t>
  </si>
  <si>
    <t>Rakennuksen tiiveysmittaus</t>
  </si>
  <si>
    <t>Ikkunat ja ulko-ovet</t>
  </si>
  <si>
    <t>Ulkopintojen huoltomaalaus</t>
  </si>
  <si>
    <t>Yläpohja</t>
  </si>
  <si>
    <t xml:space="preserve">Yläpohjan kunnostus ja lisäeristäminen </t>
  </si>
  <si>
    <t>Tilat</t>
  </si>
  <si>
    <t>Kellarin teknisten tilojen läpivientien
tiivistykset</t>
  </si>
  <si>
    <t>LVI-JÄRJESTELMÄT</t>
  </si>
  <si>
    <t>Lämmitysjärjestelmät</t>
  </si>
  <si>
    <t>Lämmitysremontin suunnittelu</t>
  </si>
  <si>
    <t>Lämmitysjärjestelmän saneeraus, kaukolämmön alajakokeskuksen uusinta+poistoilmalämpöpumppu</t>
  </si>
  <si>
    <t>Patteriventtiilien ja termostaattien uusiminen ja verkoston säätö, toteutus lämmitysjärjestelmän uusimisen yhteydessä</t>
  </si>
  <si>
    <t>Lämpimän käyttöveden kiertoon liitettyjen lämmityslaitteiden korvaaminen 
vesikiertoisella lattialämmityksellä, toteutus linjasaneerauksen yhteydessä</t>
  </si>
  <si>
    <t>Vesi- ja viemärijärjestelmät</t>
  </si>
  <si>
    <t>Linjasaneerauksen suunnittelu</t>
  </si>
  <si>
    <t>Linjasaneeraus, vesi- ja viemärijärjestelmät</t>
  </si>
  <si>
    <t>Rakennuksen vesikalusteiden uusiminen ja vakiopaineventtiilin asennus, toteutus linjasaneerauksen yhteydessä</t>
  </si>
  <si>
    <t>Lämpimän käyttöveden kiertoon liitettyjen lämmityslaitteiden korvaaminen vesikiertoisella lattialämmityksellä, toteutus linjasaneerauksen yhteydessä</t>
  </si>
  <si>
    <t>Ilmastointijärjestelmät</t>
  </si>
  <si>
    <t>Poistokoneiden uusiminen, toteutus lämmitysjärjestelmän uusimisen yhteydessä</t>
  </si>
  <si>
    <t>Alkusammutuskalusto</t>
  </si>
  <si>
    <t>Alkusammutuskaluston merkintöjen parannus</t>
  </si>
  <si>
    <t>SÄHKÖJÄRJESTELMÄT</t>
  </si>
  <si>
    <t>Sähköenergian jakelu- ja käyttöjärjestelmät</t>
  </si>
  <si>
    <t>Sähkösaneerauksen suunnittelu, toteutus putkisaneerauksen yhteydessä</t>
  </si>
  <si>
    <t>Sähkö- ja tietoteknisten järjestelmien (sis. valaistus ja automaatio) uusiminen, toteutus linjasaneerauksen yhteydessä</t>
  </si>
  <si>
    <t>Muut sähköjärjestelmät</t>
  </si>
  <si>
    <t>Aurinkosähkön lisääminen, noin 14 MWh/vuosi</t>
  </si>
  <si>
    <t>Tietotekniset järjestelmät</t>
  </si>
  <si>
    <t>Verkkovirtatoimisten palovaroittimien asentaminen</t>
  </si>
  <si>
    <t>SUUNNITELMALLINEN KIINTEISTÖNPITO</t>
  </si>
  <si>
    <t>Kiinteistön ylläpito</t>
  </si>
  <si>
    <t>Kuntoarvion ja LPTS:n päivitys</t>
  </si>
  <si>
    <t>Julkisivut, ikkunat, ulko-ovet</t>
  </si>
  <si>
    <t>Kuntotutkimus</t>
  </si>
  <si>
    <t>Yhteensä t€</t>
  </si>
  <si>
    <t>LÄHTÖTILANNE</t>
  </si>
  <si>
    <t>E-luku (kWh/m2 vuosi)</t>
  </si>
  <si>
    <t>*laskenta perustuu vakioituun energiankäyttöön</t>
  </si>
  <si>
    <t>Energiankulutus, sähkö (kWh/a)</t>
  </si>
  <si>
    <t>Energiankulutus, kaukolämpö (kWh/a)</t>
  </si>
  <si>
    <t>Energiakustannus, sähkö (€/a)</t>
  </si>
  <si>
    <t>Energiakustannus, kaukolämpö (€/a)</t>
  </si>
  <si>
    <t>Vuotuinen säästö energialaskussa lähtötilanteen kulutukseen verrattuna (€/a)</t>
  </si>
  <si>
    <t>Päästöt tCO2ekv/a</t>
  </si>
  <si>
    <t>*laskenta perustuu todelliseen energiankäyttöön</t>
  </si>
  <si>
    <t>vuosiluku:</t>
  </si>
  <si>
    <r>
      <rPr>
        <sz val="11"/>
        <color theme="1"/>
        <rFont val="Calibri"/>
        <family val="2"/>
        <scheme val="minor"/>
      </rPr>
      <t>2034-</t>
    </r>
    <r>
      <rPr>
        <b/>
        <sz val="11"/>
        <color theme="1"/>
        <rFont val="Calibri"/>
        <family val="2"/>
        <scheme val="minor"/>
      </rPr>
      <t>2037</t>
    </r>
  </si>
  <si>
    <r>
      <rPr>
        <sz val="11"/>
        <color theme="1"/>
        <rFont val="Calibri"/>
        <family val="2"/>
        <scheme val="minor"/>
      </rPr>
      <t>2039-</t>
    </r>
    <r>
      <rPr>
        <b/>
        <sz val="11"/>
        <color theme="1"/>
        <rFont val="Calibri"/>
        <family val="2"/>
        <scheme val="minor"/>
      </rPr>
      <t>2042</t>
    </r>
  </si>
  <si>
    <r>
      <rPr>
        <sz val="11"/>
        <color theme="1"/>
        <rFont val="Calibri"/>
        <family val="2"/>
        <scheme val="minor"/>
      </rPr>
      <t>2043-</t>
    </r>
    <r>
      <rPr>
        <b/>
        <sz val="11"/>
        <color theme="1"/>
        <rFont val="Calibri"/>
        <family val="2"/>
        <scheme val="minor"/>
      </rPr>
      <t>2050</t>
    </r>
  </si>
  <si>
    <t>vuosi:</t>
  </si>
  <si>
    <t>Laskennan lähtötietoja:</t>
  </si>
  <si>
    <r>
      <rPr>
        <u/>
        <sz val="11"/>
        <color theme="1"/>
        <rFont val="Calibri"/>
        <family val="2"/>
        <scheme val="minor"/>
      </rPr>
      <t>2033-</t>
    </r>
    <r>
      <rPr>
        <b/>
        <u/>
        <sz val="11"/>
        <color theme="1"/>
        <rFont val="Calibri"/>
        <family val="2"/>
        <scheme val="minor"/>
      </rPr>
      <t>2037</t>
    </r>
  </si>
  <si>
    <r>
      <rPr>
        <u/>
        <sz val="11"/>
        <color theme="1"/>
        <rFont val="Calibri"/>
        <family val="2"/>
        <scheme val="minor"/>
      </rPr>
      <t>2038-</t>
    </r>
    <r>
      <rPr>
        <b/>
        <u/>
        <sz val="11"/>
        <color theme="1"/>
        <rFont val="Calibri"/>
        <family val="2"/>
        <scheme val="minor"/>
      </rPr>
      <t>2042</t>
    </r>
  </si>
  <si>
    <r>
      <rPr>
        <u/>
        <sz val="11"/>
        <color theme="1"/>
        <rFont val="Calibri"/>
        <family val="2"/>
        <scheme val="minor"/>
      </rPr>
      <t>2043-</t>
    </r>
    <r>
      <rPr>
        <b/>
        <u/>
        <sz val="11"/>
        <color theme="1"/>
        <rFont val="Calibri"/>
        <family val="2"/>
        <scheme val="minor"/>
      </rPr>
      <t>2050</t>
    </r>
  </si>
  <si>
    <t>Sähkön hinta (eur/MWh)</t>
  </si>
  <si>
    <t>Sähkön perusmaksu (eur)</t>
  </si>
  <si>
    <t>Sähkön tehotariffi (eur)</t>
  </si>
  <si>
    <t>Lämmön energiahinta (eur/MWh)</t>
  </si>
  <si>
    <t>Lämmön perusmaksu (eur)</t>
  </si>
  <si>
    <t>tehomaksu, Vantaan Energia</t>
  </si>
  <si>
    <t>Sähkön päästökerroin (kgCO2/MWh)</t>
  </si>
  <si>
    <t>Lämmityksen päästökerroin (kgCO2/MWh)</t>
  </si>
  <si>
    <t>Kulutus sähkö (kWh)</t>
  </si>
  <si>
    <t>Kulutus lämpö (kWh)</t>
  </si>
  <si>
    <t>Inflaatio</t>
  </si>
  <si>
    <t>Diskonttokorko</t>
  </si>
  <si>
    <t>Sähkön hinnan eskalaatio</t>
  </si>
  <si>
    <t>Kaukolämmön hinnan eskalaatio</t>
  </si>
  <si>
    <t>EKP:n keskipitkän aikavälin inflaatiotavoite 2%</t>
  </si>
  <si>
    <t>Lämmön ja sähkön kustannusten nousu (eskalaatio) pääsääntöisesti 2-3 % vuodessa</t>
  </si>
  <si>
    <t>Muutokset perusmaksuissa toimenpiteistä johtuen</t>
  </si>
  <si>
    <t>Kaukolämmön CO2-päästökertoimessa 3 % ja sähkön päästökertoimessa 4% vuosittainen vähenemä (CO2data.fi päästöjen keskimääräinen väheneminen 2020-2050)</t>
  </si>
  <si>
    <t>Toimenpide-ehdotus</t>
  </si>
  <si>
    <t>2043-2050</t>
  </si>
  <si>
    <t>Julkisivusaneeraus, perustasoon</t>
  </si>
  <si>
    <t>Ikkunoiden ja parvekeovien uusiminen, toteutus julkisivusaneerauksen yhteydessä</t>
  </si>
  <si>
    <t>Yläpohjan kunnostus</t>
  </si>
  <si>
    <t>Lämmitysjärjestelmän saneeraus, kaukolämmön alajakokeskuksen uusinta</t>
  </si>
  <si>
    <t>Sähkö- ja tietoteknisten järjestelmien uusiminen, toteutus linjasaneerauksen yhteydessä</t>
  </si>
  <si>
    <t>JS 0,4, IKK 1,0, UO 1,0</t>
  </si>
  <si>
    <t>Päästöt tCO2/a</t>
  </si>
  <si>
    <t>Kumulatiiviset kokonaiskustannukset ehdotetuilla toimenpiteillä (sis. perusparannus, t€)</t>
  </si>
  <si>
    <t>Kumulatiiviset kokonaiskustannukset vain korjausvelkaa vähentävillä toimenpiteillä (ei sis. perusparannus, t€)</t>
  </si>
  <si>
    <t>Kumulatiiviset säästöt energialaskuissa ehdotetuilla toimenpiteillä verrattuna lähtötilanteeseen (t€)</t>
  </si>
  <si>
    <t>Kulutus kaukolämpö (kWh)</t>
  </si>
  <si>
    <t>Lämmön ja sähkön kustannusten nousu pääsääntöisesti 3 % vuodessa</t>
  </si>
  <si>
    <t>CO2-päästökertoimiin arvioitu 2 % vähenemä vuosittain</t>
  </si>
  <si>
    <t>Ikkunoiden ja parvekeovien uusiminen, toteutetaan julkisivusaneerauksen yhteydessä</t>
  </si>
  <si>
    <t>–ehdotetuilla toimenpiteillä (energiatehokkuuden tavoitteellinen parantaminen, t€)</t>
  </si>
  <si>
    <t>Linjasaneeraus samat, Poistokoneet 1,0</t>
  </si>
  <si>
    <t>Lähtötilanne</t>
  </si>
  <si>
    <t>Vertailutilanne (tilanne, kun kaikki esitetyt toimenpiteet on toteutettu)</t>
  </si>
  <si>
    <t>Tilavuus</t>
  </si>
  <si>
    <t>Lähtötilanteessa kaukolämmössä</t>
  </si>
  <si>
    <t>Lämmitetty ala</t>
  </si>
  <si>
    <t>Ikkunat ja ulko-ovet uusittu v. 2000</t>
  </si>
  <si>
    <t>Kaukolämpö</t>
  </si>
  <si>
    <t xml:space="preserve">E-luku </t>
  </si>
  <si>
    <t>F</t>
  </si>
  <si>
    <t>A</t>
  </si>
  <si>
    <t>E-luku</t>
  </si>
  <si>
    <t>C</t>
  </si>
  <si>
    <t>Vakiopaineventtiili</t>
  </si>
  <si>
    <t>Laajennettu PTS</t>
  </si>
  <si>
    <t>(Laajennettu PTS = Perusparannuspassi)</t>
  </si>
  <si>
    <t>Rakennuksen nimi ja osoite:</t>
  </si>
  <si>
    <t xml:space="preserve">Huom. </t>
  </si>
  <si>
    <t>Pysyvä rakennustunnus:</t>
  </si>
  <si>
    <t>Rakennuksen valmistumisvuosi:</t>
  </si>
  <si>
    <t>Rakennuksen käyttötarkoitusluokka:</t>
  </si>
  <si>
    <t>Kohdekäynnin päivämäärä:</t>
  </si>
  <si>
    <t>Toimenpide-ehdotukset ensimmäiselle viidelle vuodelle</t>
  </si>
  <si>
    <t>-&gt; 2042***</t>
  </si>
  <si>
    <t>E-luku (kWh/m2 vuosi) *</t>
  </si>
  <si>
    <t>Vuotuinen säästö energialaskussa lähtötilanteeseen verrattuna (€/a) **</t>
  </si>
  <si>
    <t>Päästöt tCO2ekv/a **</t>
  </si>
  <si>
    <t>**laskenta perustuu todelliseen energiankäyttöön</t>
  </si>
  <si>
    <t>***Tavoitteena päästötön rakennus</t>
  </si>
  <si>
    <t>Laajennettu PTS laadittu/päivitetty:</t>
  </si>
  <si>
    <t>28.11.2022</t>
  </si>
  <si>
    <t>Laajennettu PTS vastuuhenkilö:</t>
  </si>
  <si>
    <t>Maija Meikäläinen</t>
  </si>
  <si>
    <t>Ulkoseinä</t>
  </si>
  <si>
    <t>Alapohja</t>
  </si>
  <si>
    <t>Ikkunat koillinen</t>
  </si>
  <si>
    <t>Ikkunat kaakko</t>
  </si>
  <si>
    <t>Ikkunat lounas</t>
  </si>
  <si>
    <t>Ikkunat luode</t>
  </si>
  <si>
    <t>Ulko-ovet</t>
  </si>
  <si>
    <t>m2</t>
  </si>
  <si>
    <t>W/(m2K)</t>
  </si>
  <si>
    <t>U-arvot:</t>
  </si>
  <si>
    <t>m3</t>
  </si>
  <si>
    <t>Ilmavuotoluku n50</t>
  </si>
  <si>
    <t>m3/(hm2)</t>
  </si>
  <si>
    <t>Ilmanvaihtokoneen SFP</t>
  </si>
  <si>
    <t>kW/(m3/s)</t>
  </si>
  <si>
    <t>Lämpimän käyttöveden kiertojohdon eristys</t>
  </si>
  <si>
    <t>(D=halkaisija)</t>
  </si>
  <si>
    <t>1,5xD</t>
  </si>
  <si>
    <t>Lämpimän käyttöveden mitoitusvirtaama</t>
  </si>
  <si>
    <t>l/s</t>
  </si>
  <si>
    <t>Lämmönjaon hyötysuhde</t>
  </si>
  <si>
    <t>Lämmönjakolaitteiden apulaitteiden sähkönkäyttö</t>
  </si>
  <si>
    <t>kWh/(m2a)</t>
  </si>
  <si>
    <t>Lämmitysjärjestelmä</t>
  </si>
  <si>
    <t>ei</t>
  </si>
  <si>
    <t>1/h</t>
  </si>
  <si>
    <t>Lämmönjakojärjestelmä</t>
  </si>
  <si>
    <t>vesikiertoiset radiaattorit</t>
  </si>
  <si>
    <t>kyllä</t>
  </si>
  <si>
    <t>Käyttövesivaraajan koko</t>
  </si>
  <si>
    <t>Käyttövesivaraajan eristys</t>
  </si>
  <si>
    <t>l</t>
  </si>
  <si>
    <t>mm</t>
  </si>
  <si>
    <t>Lämmitysverkoston varaajan koko</t>
  </si>
  <si>
    <t>Lämmitysverkoston varaajan eristys</t>
  </si>
  <si>
    <t>Poistoilmalämpöpumppu</t>
  </si>
  <si>
    <t>3 kpl: NIBE reHEAT GM-HP12</t>
  </si>
  <si>
    <t>Aurinkosähkö</t>
  </si>
  <si>
    <t>MWh/a</t>
  </si>
  <si>
    <t>Rakennuksen perustiedot</t>
  </si>
  <si>
    <t>Koneellinen poistoilmanvaihto</t>
  </si>
  <si>
    <t>Sijainti: Järvenpää</t>
  </si>
  <si>
    <t>Rakennusvuosi: 1975</t>
  </si>
  <si>
    <t>Rakennustyyppi: kerrostalo, 5 kerrosta</t>
  </si>
  <si>
    <t>Laskennan lähtötiedot</t>
  </si>
  <si>
    <t>Märkätilojen sähköiset lisälämmitykset</t>
  </si>
  <si>
    <t>vesikiertoinen lattialämmitys</t>
  </si>
  <si>
    <t>Märkätilojen päälämmitystapa</t>
  </si>
  <si>
    <t>käyttövesipatterit</t>
  </si>
  <si>
    <t>Energialuokka</t>
  </si>
  <si>
    <t>kWhE/(m2a)</t>
  </si>
  <si>
    <t>Perusparannusvaiheet</t>
  </si>
  <si>
    <t>Putki- ja sähköremontti, jonka yhteydessä märkätiloista poistetaan LKVpatterit -&gt; tilalle vesikiertoinen lattialämmitys</t>
  </si>
  <si>
    <t>Lisätään vakiopaineventtiili</t>
  </si>
  <si>
    <t>Uusitaan huippuimurit</t>
  </si>
  <si>
    <t>Saneerataan yläpohja ja lisäeristetään</t>
  </si>
  <si>
    <t>Lisätään aurinkosähköjärjestelmä</t>
  </si>
  <si>
    <t>Julkisivusaneeraus ja tiiveyskorjaus</t>
  </si>
  <si>
    <t>–vain korjausvelkaa vähentävillä toimenpiteillä (määräysten mukainen energiatehokkuden parantaminen, t€)</t>
  </si>
  <si>
    <t>Esimerkinomainen viranomaisen järjestelmästä tulostettavan laajennetun PTS:n etusivun näkymä</t>
  </si>
  <si>
    <t>Toteutetaan tiiveysmittaus, oletus q50=3</t>
  </si>
  <si>
    <t>Toteutetaan tiiveysmittaus, tavoite q50=1,8</t>
  </si>
  <si>
    <t>Toimenpiteet</t>
  </si>
  <si>
    <t>Toteutusvuosi</t>
  </si>
  <si>
    <t>Lämmitysremontti: Uusitaan kaukolämmön alajakokeskus, lisätään poistoilmalämpöpumppu, sekä varaajat käyttövedelle ja lämmitysverkostolle</t>
  </si>
  <si>
    <t>U-arvot: ulkoseinä 0,81--&gt;0,28 W/(m2K); ikkunat 2,1--&gt;0,8 W/m2K, g-arvo 0,63--&gt;0,585; ulko-ovet 1,4--&gt;0,8 W/(m2K)</t>
  </si>
  <si>
    <t>Arvio nykyarvoon diskontatuista kumulatiivisista kokonaiskustannuksista (energia- ja investointikulut, ei sis. huoltokustannuksia) (*</t>
  </si>
  <si>
    <t>*) Kassavirran kehitys ehdotetuilla toimenpiteillä verrattuna tilanteeseen, jossa tehtäisi vain korjausvelkaa vähentävät toimenpiteet. Tuo esille energiatehokkuustoimenpiteiden taloudellista kannattavuutta huomioimatta kuitenkaan energiatoimenpiteiden mahdollisesti tuomaa kiinteistön arvon nousua. PTS vain korjausvelkaa sisältävillä toimilla esitetty välilehdellä "PTS ilman energia-investointeja".</t>
  </si>
  <si>
    <t>CO2data.fi päästötietokannan energiaskenaario, hyödynjakomenetelmä</t>
  </si>
  <si>
    <t>Vantaan Energia (Järvenpää), oletuksena 3% vuosittainen keskimääräinen alenema</t>
  </si>
  <si>
    <t>Sähköinen allekirjoitus</t>
  </si>
  <si>
    <t>Mahdollinen perusparannuspassin rekisteritunnus</t>
  </si>
  <si>
    <t>LASKENTAESIMERKKI LAAJENNETUSTA PITKÄN TÄHTÄIMEN KUNNOSSAPITOSUUNNITELMA-EHDOTUKSESTA (LPTS-ehdotus)</t>
  </si>
  <si>
    <t>Toimenpiteen ajoitus ja kustannusarvio nykyisellä hintatasolla (sis. alv). Sisältää kaikki kulut (rakennuttaminen, suunnittelu, urakointi).</t>
  </si>
  <si>
    <t>Toimenpiteen ajoitus ja kustannusarvio (sis. alv). Sisältää kaikki kulut (rakennuttaminen, suunnittelu, urakointi)</t>
  </si>
  <si>
    <t xml:space="preserve">Esimerkkilaskennan tarkoituksena on havainnollistaa ympäristöministeriön rahoittamassa Kerrostalon laajennettu LPTS -projektissa (6/2022-01/2023) laaditun mallin laskentaa.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</si>
</sst>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
    <numFmt numFmtId="166" formatCode="0.000"/>
    <numFmt numFmtId="167" formatCode="0.0000"/>
    <numFmt numFmtId="168" formatCode="#,##0.0"/>
  </numFmts>
  <fonts count="18" x14ac:knownFonts="1">
    <font>
      <sz val="11"/>
      <color theme="1"/>
      <name val="Calibri"/>
      <family val="2"/>
      <scheme val="minor"/>
    </font>
    <font>
      <b/>
      <sz val="11"/>
      <color theme="1"/>
      <name val="Calibri"/>
      <family val="2"/>
      <scheme val="minor"/>
    </font>
    <font>
      <sz val="11"/>
      <name val="Calibri"/>
      <family val="2"/>
      <scheme val="minor"/>
    </font>
    <font>
      <sz val="11"/>
      <color theme="9"/>
      <name val="Calibri"/>
      <family val="2"/>
      <scheme val="minor"/>
    </font>
    <font>
      <sz val="9"/>
      <color theme="1"/>
      <name val="Calibri"/>
      <family val="2"/>
      <scheme val="minor"/>
    </font>
    <font>
      <b/>
      <sz val="11"/>
      <name val="Calibri"/>
      <family val="2"/>
      <scheme val="minor"/>
    </font>
    <font>
      <i/>
      <sz val="11"/>
      <name val="Calibri"/>
      <family val="2"/>
      <scheme val="minor"/>
    </font>
    <font>
      <u/>
      <sz val="11"/>
      <color theme="1"/>
      <name val="Calibri"/>
      <family val="2"/>
      <scheme val="minor"/>
    </font>
    <font>
      <b/>
      <u/>
      <sz val="11"/>
      <color theme="1"/>
      <name val="Calibri"/>
      <family val="2"/>
      <scheme val="minor"/>
    </font>
    <font>
      <sz val="9"/>
      <color rgb="FF000000"/>
      <name val="Calibri"/>
    </font>
    <font>
      <sz val="11"/>
      <color rgb="FF000000"/>
      <name val="Calibri"/>
    </font>
    <font>
      <sz val="11"/>
      <color rgb="FF000000"/>
      <name val="Calibri"/>
      <family val="2"/>
    </font>
    <font>
      <sz val="9"/>
      <color rgb="FF000000"/>
      <name val="Calibri"/>
      <family val="2"/>
    </font>
    <font>
      <sz val="8"/>
      <color theme="1"/>
      <name val="Calibri"/>
      <family val="2"/>
      <scheme val="minor"/>
    </font>
    <font>
      <i/>
      <sz val="11"/>
      <color theme="8"/>
      <name val="Calibri"/>
      <family val="2"/>
      <scheme val="minor"/>
    </font>
    <font>
      <b/>
      <sz val="12"/>
      <color theme="1"/>
      <name val="Calibri"/>
      <family val="2"/>
      <scheme val="minor"/>
    </font>
    <font>
      <sz val="11"/>
      <color rgb="FF000000"/>
      <name val="Calibri"/>
      <family val="2"/>
      <scheme val="minor"/>
    </font>
    <font>
      <sz val="11"/>
      <color theme="1"/>
      <name val="Calibri"/>
      <family val="2"/>
    </font>
  </fonts>
  <fills count="7">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2"/>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ck">
        <color indexed="64"/>
      </top>
      <bottom/>
      <diagonal/>
    </border>
    <border>
      <left style="medium">
        <color rgb="FF000000"/>
      </left>
      <right style="medium">
        <color indexed="64"/>
      </right>
      <top style="medium">
        <color rgb="FF000000"/>
      </top>
      <bottom/>
      <diagonal/>
    </border>
    <border>
      <left style="medium">
        <color indexed="64"/>
      </left>
      <right/>
      <top style="medium">
        <color rgb="FF000000"/>
      </top>
      <bottom style="medium">
        <color indexed="64"/>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rgb="FF000000"/>
      </top>
      <bottom style="thin">
        <color indexed="64"/>
      </bottom>
      <diagonal/>
    </border>
    <border>
      <left/>
      <right style="medium">
        <color indexed="64"/>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medium">
        <color rgb="FF000000"/>
      </left>
      <right style="medium">
        <color indexed="64"/>
      </right>
      <top style="thin">
        <color indexed="64"/>
      </top>
      <bottom style="thin">
        <color indexed="64"/>
      </bottom>
      <diagonal/>
    </border>
    <border>
      <left style="medium">
        <color rgb="FF000000"/>
      </left>
      <right style="medium">
        <color indexed="64"/>
      </right>
      <top style="thin">
        <color indexed="64"/>
      </top>
      <bottom style="medium">
        <color rgb="FF000000"/>
      </bottom>
      <diagonal/>
    </border>
    <border>
      <left/>
      <right style="medium">
        <color indexed="64"/>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medium">
        <color rgb="FF000000"/>
      </top>
      <bottom style="thick">
        <color indexed="64"/>
      </bottom>
      <diagonal/>
    </border>
    <border>
      <left style="thin">
        <color indexed="64"/>
      </left>
      <right/>
      <top style="medium">
        <color rgb="FF000000"/>
      </top>
      <bottom style="medium">
        <color indexed="64"/>
      </bottom>
      <diagonal/>
    </border>
    <border>
      <left style="medium">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right/>
      <top/>
      <bottom style="thick">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rgb="FF000000"/>
      </left>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rgb="FF000000"/>
      </right>
      <top style="medium">
        <color rgb="FF000000"/>
      </top>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right style="medium">
        <color indexed="64"/>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rgb="FF000000"/>
      </left>
      <right style="thin">
        <color rgb="FF000000"/>
      </right>
      <top style="medium">
        <color indexed="64"/>
      </top>
      <bottom style="medium">
        <color indexed="64"/>
      </bottom>
      <diagonal/>
    </border>
    <border>
      <left/>
      <right/>
      <top style="thin">
        <color rgb="FF000000"/>
      </top>
      <bottom/>
      <diagonal/>
    </border>
  </borders>
  <cellStyleXfs count="1">
    <xf numFmtId="0" fontId="0" fillId="0" borderId="0"/>
  </cellStyleXfs>
  <cellXfs count="270">
    <xf numFmtId="0" fontId="0" fillId="0" borderId="0" xfId="0"/>
    <xf numFmtId="0" fontId="1" fillId="0" borderId="0" xfId="0" applyFont="1"/>
    <xf numFmtId="0" fontId="0" fillId="0" borderId="0" xfId="0" quotePrefix="1"/>
    <xf numFmtId="0" fontId="2" fillId="0" borderId="0" xfId="0" applyFont="1"/>
    <xf numFmtId="0" fontId="3" fillId="0" borderId="0" xfId="0" applyFont="1"/>
    <xf numFmtId="0" fontId="0" fillId="0" borderId="0" xfId="0" applyAlignment="1">
      <alignment horizontal="right"/>
    </xf>
    <xf numFmtId="0" fontId="0" fillId="0" borderId="0" xfId="0" applyAlignment="1">
      <alignment horizontal="center"/>
    </xf>
    <xf numFmtId="1" fontId="0" fillId="0" borderId="0" xfId="0" applyNumberFormat="1" applyAlignment="1">
      <alignment horizontal="center"/>
    </xf>
    <xf numFmtId="1" fontId="1" fillId="0" borderId="0" xfId="0" applyNumberFormat="1" applyFont="1" applyAlignment="1">
      <alignment horizontal="center"/>
    </xf>
    <xf numFmtId="0" fontId="1" fillId="0" borderId="0" xfId="0" applyFont="1" applyAlignment="1">
      <alignment horizontal="center" vertical="center"/>
    </xf>
    <xf numFmtId="1" fontId="0" fillId="2" borderId="0" xfId="0" applyNumberFormat="1" applyFill="1" applyAlignment="1">
      <alignment horizontal="center"/>
    </xf>
    <xf numFmtId="0" fontId="0" fillId="0" borderId="1" xfId="0" applyBorder="1"/>
    <xf numFmtId="0" fontId="0" fillId="0" borderId="2" xfId="0" applyBorder="1"/>
    <xf numFmtId="0" fontId="1" fillId="0" borderId="3" xfId="0" applyFont="1" applyBorder="1"/>
    <xf numFmtId="0" fontId="0" fillId="0" borderId="11"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xf>
    <xf numFmtId="0" fontId="2" fillId="0" borderId="15" xfId="0" applyFont="1" applyBorder="1" applyAlignment="1">
      <alignment vertical="center"/>
    </xf>
    <xf numFmtId="0" fontId="0" fillId="0" borderId="9" xfId="0" applyBorder="1" applyAlignment="1">
      <alignmen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3" borderId="20" xfId="0" applyFill="1" applyBorder="1" applyAlignment="1">
      <alignment horizontal="center" vertical="center"/>
    </xf>
    <xf numFmtId="0" fontId="2" fillId="0" borderId="19" xfId="0" applyFont="1" applyBorder="1" applyAlignment="1">
      <alignment vertical="center" wrapText="1"/>
    </xf>
    <xf numFmtId="0" fontId="0" fillId="3" borderId="19" xfId="0"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1" fontId="0" fillId="0" borderId="17" xfId="0" applyNumberFormat="1" applyBorder="1" applyAlignment="1">
      <alignment horizontal="center"/>
    </xf>
    <xf numFmtId="1" fontId="0" fillId="0" borderId="25" xfId="0" applyNumberFormat="1" applyBorder="1" applyAlignment="1">
      <alignment horizontal="center"/>
    </xf>
    <xf numFmtId="0" fontId="0" fillId="4" borderId="27" xfId="0" applyFill="1"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xf>
    <xf numFmtId="0" fontId="0" fillId="4" borderId="14" xfId="0" applyFill="1" applyBorder="1" applyAlignment="1">
      <alignment horizontal="center"/>
    </xf>
    <xf numFmtId="0" fontId="2" fillId="0" borderId="19" xfId="0" applyFont="1" applyBorder="1" applyAlignment="1">
      <alignment vertical="center"/>
    </xf>
    <xf numFmtId="0" fontId="0" fillId="0" borderId="20" xfId="0" applyBorder="1" applyAlignment="1">
      <alignment horizontal="center"/>
    </xf>
    <xf numFmtId="1" fontId="1" fillId="0" borderId="30" xfId="0" applyNumberFormat="1" applyFont="1" applyBorder="1" applyAlignment="1">
      <alignment horizontal="center"/>
    </xf>
    <xf numFmtId="0" fontId="0" fillId="3" borderId="28" xfId="0" applyFill="1" applyBorder="1" applyAlignment="1">
      <alignment horizontal="center" vertical="center"/>
    </xf>
    <xf numFmtId="0" fontId="0" fillId="3" borderId="21" xfId="0" applyFill="1" applyBorder="1" applyAlignment="1">
      <alignment horizontal="center"/>
    </xf>
    <xf numFmtId="0" fontId="0" fillId="0" borderId="6" xfId="0" applyBorder="1" applyAlignment="1">
      <alignment horizontal="right"/>
    </xf>
    <xf numFmtId="0" fontId="0" fillId="0" borderId="8" xfId="0" applyBorder="1" applyAlignment="1">
      <alignment horizontal="right"/>
    </xf>
    <xf numFmtId="0" fontId="0" fillId="0" borderId="7" xfId="0" applyBorder="1" applyAlignment="1">
      <alignment horizontal="left"/>
    </xf>
    <xf numFmtId="0" fontId="0" fillId="0" borderId="31" xfId="0" applyBorder="1"/>
    <xf numFmtId="1" fontId="1" fillId="0" borderId="31" xfId="0" applyNumberFormat="1" applyFont="1" applyBorder="1" applyAlignment="1">
      <alignment horizontal="center"/>
    </xf>
    <xf numFmtId="1" fontId="0" fillId="0" borderId="31" xfId="0" applyNumberFormat="1" applyBorder="1" applyAlignment="1">
      <alignment horizontal="center"/>
    </xf>
    <xf numFmtId="0" fontId="1" fillId="0" borderId="31" xfId="0" applyFont="1" applyBorder="1" applyAlignment="1">
      <alignment horizontal="center" vertical="center"/>
    </xf>
    <xf numFmtId="0" fontId="0" fillId="0" borderId="31" xfId="0" applyBorder="1" applyAlignment="1">
      <alignment horizontal="center"/>
    </xf>
    <xf numFmtId="0" fontId="1" fillId="4" borderId="13" xfId="0" applyFont="1" applyFill="1" applyBorder="1" applyAlignment="1">
      <alignment vertical="center"/>
    </xf>
    <xf numFmtId="0" fontId="4" fillId="0" borderId="0" xfId="0" applyFont="1"/>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3" borderId="20" xfId="0" applyFont="1" applyFill="1" applyBorder="1" applyAlignment="1">
      <alignment horizontal="center" vertical="center"/>
    </xf>
    <xf numFmtId="0" fontId="2" fillId="0" borderId="28" xfId="0" applyFont="1" applyBorder="1" applyAlignment="1">
      <alignment horizontal="center" vertical="center"/>
    </xf>
    <xf numFmtId="0" fontId="2" fillId="0" borderId="21" xfId="0" applyFont="1" applyBorder="1" applyAlignment="1">
      <alignment horizont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3" borderId="17" xfId="0" applyFont="1" applyFill="1" applyBorder="1" applyAlignment="1">
      <alignment horizontal="center" vertical="center"/>
    </xf>
    <xf numFmtId="0" fontId="2" fillId="0" borderId="26" xfId="0" applyFont="1" applyBorder="1" applyAlignment="1">
      <alignment horizontal="center" vertical="center"/>
    </xf>
    <xf numFmtId="0" fontId="2" fillId="0" borderId="16" xfId="0" applyFont="1" applyBorder="1" applyAlignment="1">
      <alignment horizontal="center"/>
    </xf>
    <xf numFmtId="0" fontId="2" fillId="0" borderId="17" xfId="0" applyFont="1" applyBorder="1" applyAlignment="1">
      <alignment horizontal="center"/>
    </xf>
    <xf numFmtId="0" fontId="2" fillId="3" borderId="15" xfId="0" applyFont="1" applyFill="1" applyBorder="1" applyAlignment="1">
      <alignment horizontal="center" vertical="center"/>
    </xf>
    <xf numFmtId="0" fontId="2" fillId="0" borderId="22"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3" borderId="23" xfId="0" applyFont="1" applyFill="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xf>
    <xf numFmtId="0" fontId="5" fillId="4" borderId="13" xfId="0" applyFont="1" applyFill="1" applyBorder="1" applyAlignment="1">
      <alignment vertical="center"/>
    </xf>
    <xf numFmtId="0" fontId="2" fillId="4" borderId="1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14" xfId="0" applyFont="1" applyFill="1" applyBorder="1" applyAlignment="1">
      <alignment horizontal="center"/>
    </xf>
    <xf numFmtId="0" fontId="2" fillId="3" borderId="22"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2" xfId="0" applyFont="1" applyBorder="1" applyAlignment="1">
      <alignment vertical="center" wrapText="1"/>
    </xf>
    <xf numFmtId="0" fontId="1" fillId="0" borderId="9" xfId="0" applyFont="1" applyBorder="1" applyAlignment="1">
      <alignment horizontal="center"/>
    </xf>
    <xf numFmtId="0" fontId="1" fillId="0" borderId="10" xfId="0" applyFont="1" applyBorder="1" applyAlignment="1">
      <alignment horizontal="center"/>
    </xf>
    <xf numFmtId="0" fontId="6" fillId="0" borderId="15" xfId="0" applyFont="1" applyBorder="1" applyAlignment="1">
      <alignment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3" borderId="26" xfId="0" applyFont="1" applyFill="1" applyBorder="1" applyAlignment="1">
      <alignment horizontal="center" vertical="center"/>
    </xf>
    <xf numFmtId="0" fontId="6" fillId="0" borderId="16" xfId="0" applyFont="1" applyBorder="1" applyAlignment="1">
      <alignment horizontal="center"/>
    </xf>
    <xf numFmtId="0" fontId="6" fillId="0" borderId="0" xfId="0" applyFont="1"/>
    <xf numFmtId="0" fontId="6" fillId="3" borderId="17" xfId="0" applyFont="1" applyFill="1" applyBorder="1" applyAlignment="1">
      <alignment horizontal="center" vertical="center"/>
    </xf>
    <xf numFmtId="0" fontId="6" fillId="0" borderId="26" xfId="0" applyFont="1" applyBorder="1" applyAlignment="1">
      <alignment horizontal="center" vertical="center"/>
    </xf>
    <xf numFmtId="0" fontId="6" fillId="0" borderId="15" xfId="0" applyFont="1" applyBorder="1" applyAlignment="1">
      <alignment vertical="center" wrapText="1"/>
    </xf>
    <xf numFmtId="0" fontId="4" fillId="2" borderId="0" xfId="0" applyFont="1" applyFill="1"/>
    <xf numFmtId="0" fontId="7" fillId="0" borderId="0" xfId="0" applyFont="1"/>
    <xf numFmtId="0" fontId="8" fillId="0" borderId="0" xfId="0" applyFont="1"/>
    <xf numFmtId="0" fontId="8" fillId="0" borderId="0" xfId="0" applyFont="1" applyAlignment="1">
      <alignment horizontal="center"/>
    </xf>
    <xf numFmtId="0" fontId="8" fillId="0" borderId="0" xfId="0" applyFont="1" applyAlignment="1">
      <alignment horizontal="center" vertical="center"/>
    </xf>
    <xf numFmtId="0" fontId="0" fillId="0" borderId="32" xfId="0" applyBorder="1"/>
    <xf numFmtId="0" fontId="1" fillId="0" borderId="33" xfId="0" applyFont="1" applyBorder="1"/>
    <xf numFmtId="0" fontId="1" fillId="0" borderId="34" xfId="0" applyFont="1" applyBorder="1" applyAlignment="1">
      <alignment horizontal="center"/>
    </xf>
    <xf numFmtId="0" fontId="1" fillId="0" borderId="35" xfId="0" applyFont="1" applyBorder="1" applyAlignment="1">
      <alignment horizontal="center"/>
    </xf>
    <xf numFmtId="0" fontId="1" fillId="0" borderId="36" xfId="0" applyFont="1" applyBorder="1" applyAlignment="1">
      <alignment horizontal="center" vertical="center"/>
    </xf>
    <xf numFmtId="1" fontId="1" fillId="0" borderId="38" xfId="0" applyNumberFormat="1" applyFont="1" applyBorder="1" applyAlignment="1">
      <alignment horizontal="center"/>
    </xf>
    <xf numFmtId="1" fontId="0" fillId="0" borderId="39" xfId="0" applyNumberFormat="1" applyBorder="1" applyAlignment="1">
      <alignment horizontal="center"/>
    </xf>
    <xf numFmtId="1" fontId="0" fillId="0" borderId="40" xfId="0" applyNumberFormat="1" applyBorder="1" applyAlignment="1">
      <alignment horizontal="center"/>
    </xf>
    <xf numFmtId="0" fontId="1" fillId="0" borderId="41" xfId="0" applyFont="1" applyBorder="1" applyAlignment="1">
      <alignment horizontal="center" vertical="center"/>
    </xf>
    <xf numFmtId="1" fontId="1" fillId="0" borderId="43" xfId="0" applyNumberFormat="1" applyFont="1" applyBorder="1" applyAlignment="1">
      <alignment horizontal="center"/>
    </xf>
    <xf numFmtId="1" fontId="0" fillId="0" borderId="44" xfId="0" applyNumberFormat="1" applyBorder="1" applyAlignment="1">
      <alignment horizontal="center"/>
    </xf>
    <xf numFmtId="1" fontId="0" fillId="0" borderId="45" xfId="0" applyNumberFormat="1" applyBorder="1" applyAlignment="1">
      <alignment horizontal="center"/>
    </xf>
    <xf numFmtId="164" fontId="1" fillId="0" borderId="48" xfId="0" applyNumberFormat="1" applyFont="1" applyBorder="1" applyAlignment="1">
      <alignment horizontal="center"/>
    </xf>
    <xf numFmtId="164" fontId="0" fillId="0" borderId="49" xfId="0" applyNumberFormat="1" applyBorder="1" applyAlignment="1">
      <alignment horizontal="center"/>
    </xf>
    <xf numFmtId="164" fontId="0" fillId="0" borderId="50" xfId="0" applyNumberFormat="1" applyBorder="1" applyAlignment="1">
      <alignment horizontal="center"/>
    </xf>
    <xf numFmtId="0" fontId="9" fillId="0" borderId="0" xfId="0" applyFont="1" applyAlignment="1">
      <alignment vertical="top"/>
    </xf>
    <xf numFmtId="164" fontId="1" fillId="0" borderId="0" xfId="0" applyNumberFormat="1" applyFont="1" applyAlignment="1">
      <alignment horizontal="center"/>
    </xf>
    <xf numFmtId="164" fontId="0" fillId="0" borderId="0" xfId="0" applyNumberFormat="1" applyAlignment="1">
      <alignment horizontal="center"/>
    </xf>
    <xf numFmtId="164" fontId="0" fillId="0" borderId="0" xfId="0" applyNumberFormat="1"/>
    <xf numFmtId="1" fontId="0" fillId="0" borderId="52" xfId="0" applyNumberFormat="1" applyBorder="1" applyAlignment="1">
      <alignment horizontal="center"/>
    </xf>
    <xf numFmtId="1" fontId="0" fillId="0" borderId="55" xfId="0" applyNumberFormat="1" applyBorder="1" applyAlignment="1">
      <alignment horizontal="center"/>
    </xf>
    <xf numFmtId="1" fontId="0" fillId="0" borderId="58" xfId="0" applyNumberFormat="1" applyBorder="1" applyAlignment="1">
      <alignment horizontal="center"/>
    </xf>
    <xf numFmtId="1" fontId="0" fillId="0" borderId="60" xfId="0" applyNumberFormat="1" applyBorder="1" applyAlignment="1">
      <alignment horizontal="center"/>
    </xf>
    <xf numFmtId="1" fontId="0" fillId="0" borderId="61" xfId="0" applyNumberFormat="1" applyBorder="1" applyAlignment="1">
      <alignment horizontal="center"/>
    </xf>
    <xf numFmtId="0" fontId="1" fillId="0" borderId="63"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1" fontId="0" fillId="0" borderId="64" xfId="0" applyNumberFormat="1" applyBorder="1" applyAlignment="1">
      <alignment horizontal="center"/>
    </xf>
    <xf numFmtId="1" fontId="0" fillId="0" borderId="65" xfId="0" applyNumberFormat="1" applyBorder="1" applyAlignment="1">
      <alignment horizontal="center"/>
    </xf>
    <xf numFmtId="1" fontId="0" fillId="0" borderId="15" xfId="0" applyNumberFormat="1" applyBorder="1" applyAlignment="1">
      <alignment horizontal="center"/>
    </xf>
    <xf numFmtId="1" fontId="0" fillId="0" borderId="16" xfId="0" applyNumberFormat="1" applyBorder="1" applyAlignment="1">
      <alignment horizontal="center"/>
    </xf>
    <xf numFmtId="1" fontId="0" fillId="0" borderId="30"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 fontId="0" fillId="0" borderId="67" xfId="0" applyNumberFormat="1" applyBorder="1" applyAlignment="1">
      <alignment horizontal="center"/>
    </xf>
    <xf numFmtId="1" fontId="0" fillId="0" borderId="68" xfId="0" applyNumberFormat="1" applyBorder="1" applyAlignment="1">
      <alignment horizontal="center"/>
    </xf>
    <xf numFmtId="1" fontId="0" fillId="0" borderId="13" xfId="0" applyNumberFormat="1" applyBorder="1" applyAlignment="1">
      <alignment horizontal="center"/>
    </xf>
    <xf numFmtId="1" fontId="0" fillId="0" borderId="14" xfId="0" applyNumberFormat="1" applyBorder="1" applyAlignment="1">
      <alignment horizontal="center"/>
    </xf>
    <xf numFmtId="1" fontId="1" fillId="0" borderId="69" xfId="0" applyNumberFormat="1" applyFont="1" applyBorder="1" applyAlignment="1">
      <alignment horizontal="center"/>
    </xf>
    <xf numFmtId="164" fontId="1" fillId="0" borderId="70" xfId="0" applyNumberFormat="1" applyFont="1" applyBorder="1" applyAlignment="1">
      <alignment horizontal="center"/>
    </xf>
    <xf numFmtId="1" fontId="1" fillId="0" borderId="71" xfId="0" applyNumberFormat="1" applyFont="1" applyBorder="1" applyAlignment="1">
      <alignment horizontal="center"/>
    </xf>
    <xf numFmtId="0" fontId="0" fillId="0" borderId="42" xfId="0" quotePrefix="1" applyBorder="1" applyAlignment="1">
      <alignment horizontal="right"/>
    </xf>
    <xf numFmtId="0" fontId="0" fillId="0" borderId="46" xfId="0" quotePrefix="1" applyBorder="1" applyAlignment="1">
      <alignment horizontal="right"/>
    </xf>
    <xf numFmtId="0" fontId="0" fillId="0" borderId="46" xfId="0" applyBorder="1" applyAlignment="1">
      <alignment horizontal="right"/>
    </xf>
    <xf numFmtId="0" fontId="0" fillId="0" borderId="47" xfId="0" applyBorder="1" applyAlignment="1">
      <alignment horizontal="right"/>
    </xf>
    <xf numFmtId="0" fontId="0" fillId="0" borderId="37" xfId="0" applyBorder="1" applyAlignment="1">
      <alignment horizontal="right"/>
    </xf>
    <xf numFmtId="1" fontId="0" fillId="0" borderId="0" xfId="0" applyNumberFormat="1"/>
    <xf numFmtId="0" fontId="2" fillId="0" borderId="15" xfId="0" applyFont="1" applyBorder="1" applyAlignment="1">
      <alignment vertical="center" wrapText="1"/>
    </xf>
    <xf numFmtId="0" fontId="0" fillId="5" borderId="31" xfId="0" applyFill="1" applyBorder="1"/>
    <xf numFmtId="1" fontId="0" fillId="0" borderId="72" xfId="0" applyNumberFormat="1" applyBorder="1" applyAlignment="1">
      <alignment horizontal="center"/>
    </xf>
    <xf numFmtId="1" fontId="0" fillId="0" borderId="73" xfId="0" applyNumberFormat="1" applyBorder="1" applyAlignment="1">
      <alignment horizontal="center"/>
    </xf>
    <xf numFmtId="0" fontId="1" fillId="0" borderId="74" xfId="0" applyFont="1" applyBorder="1" applyAlignment="1">
      <alignment horizontal="center"/>
    </xf>
    <xf numFmtId="0" fontId="1" fillId="0" borderId="75" xfId="0" applyFont="1" applyBorder="1" applyAlignment="1">
      <alignment horizontal="center"/>
    </xf>
    <xf numFmtId="0" fontId="1" fillId="0" borderId="76" xfId="0" applyFont="1" applyBorder="1" applyAlignment="1">
      <alignment horizontal="center" vertical="center"/>
    </xf>
    <xf numFmtId="1" fontId="0" fillId="0" borderId="77" xfId="0" applyNumberFormat="1" applyBorder="1" applyAlignment="1">
      <alignment horizontal="center"/>
    </xf>
    <xf numFmtId="1" fontId="0" fillId="0" borderId="78" xfId="0" applyNumberFormat="1" applyBorder="1" applyAlignment="1">
      <alignment horizontal="center"/>
    </xf>
    <xf numFmtId="1" fontId="0" fillId="0" borderId="79" xfId="0" applyNumberFormat="1" applyBorder="1" applyAlignment="1">
      <alignment horizontal="center"/>
    </xf>
    <xf numFmtId="1" fontId="1" fillId="0" borderId="80" xfId="0" applyNumberFormat="1" applyFont="1" applyBorder="1" applyAlignment="1">
      <alignment horizontal="center"/>
    </xf>
    <xf numFmtId="1" fontId="1" fillId="0" borderId="81" xfId="0" applyNumberFormat="1" applyFont="1" applyBorder="1" applyAlignment="1">
      <alignment horizontal="center"/>
    </xf>
    <xf numFmtId="0" fontId="2" fillId="3" borderId="26" xfId="0" applyFont="1" applyFill="1" applyBorder="1" applyAlignment="1">
      <alignment horizontal="center" vertical="center"/>
    </xf>
    <xf numFmtId="0" fontId="1" fillId="0" borderId="82" xfId="0" applyFont="1" applyBorder="1" applyAlignment="1">
      <alignment horizontal="center" vertical="center"/>
    </xf>
    <xf numFmtId="1" fontId="2" fillId="0" borderId="0" xfId="0" applyNumberFormat="1" applyFont="1" applyAlignment="1">
      <alignment horizontal="center"/>
    </xf>
    <xf numFmtId="0" fontId="12" fillId="0" borderId="0" xfId="0" applyFont="1" applyAlignment="1">
      <alignment vertical="top"/>
    </xf>
    <xf numFmtId="0" fontId="1" fillId="0" borderId="0" xfId="0" quotePrefix="1" applyFont="1"/>
    <xf numFmtId="0" fontId="13" fillId="0" borderId="0" xfId="0" applyFont="1" applyAlignment="1">
      <alignment horizontal="right"/>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3" fontId="1" fillId="0" borderId="43" xfId="0" applyNumberFormat="1" applyFont="1" applyBorder="1" applyAlignment="1">
      <alignment horizontal="center"/>
    </xf>
    <xf numFmtId="3" fontId="0" fillId="0" borderId="44" xfId="0" applyNumberFormat="1" applyBorder="1" applyAlignment="1">
      <alignment horizontal="center"/>
    </xf>
    <xf numFmtId="3" fontId="0" fillId="0" borderId="45" xfId="0" applyNumberFormat="1" applyBorder="1" applyAlignment="1">
      <alignment horizontal="center"/>
    </xf>
    <xf numFmtId="3" fontId="0" fillId="0" borderId="64" xfId="0" applyNumberFormat="1" applyBorder="1" applyAlignment="1">
      <alignment horizontal="center"/>
    </xf>
    <xf numFmtId="3" fontId="0" fillId="0" borderId="65" xfId="0" applyNumberFormat="1" applyBorder="1" applyAlignment="1">
      <alignment horizontal="center"/>
    </xf>
    <xf numFmtId="3" fontId="1" fillId="0" borderId="30" xfId="0" applyNumberFormat="1" applyFont="1" applyBorder="1" applyAlignment="1">
      <alignment horizontal="center"/>
    </xf>
    <xf numFmtId="3" fontId="0" fillId="0" borderId="25" xfId="0" applyNumberForma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3" fontId="0" fillId="0" borderId="16" xfId="0" applyNumberFormat="1" applyBorder="1" applyAlignment="1">
      <alignment horizontal="center"/>
    </xf>
    <xf numFmtId="3" fontId="0" fillId="0" borderId="30" xfId="0" applyNumberFormat="1" applyBorder="1" applyAlignment="1">
      <alignment horizontal="center"/>
    </xf>
    <xf numFmtId="3" fontId="1" fillId="0" borderId="0" xfId="0" applyNumberFormat="1" applyFont="1" applyAlignment="1">
      <alignment horizontal="center"/>
    </xf>
    <xf numFmtId="3" fontId="0" fillId="0" borderId="0" xfId="0" applyNumberFormat="1" applyAlignment="1">
      <alignment horizontal="center"/>
    </xf>
    <xf numFmtId="3" fontId="0" fillId="2" borderId="0" xfId="0" applyNumberFormat="1" applyFill="1" applyAlignment="1">
      <alignment horizontal="center"/>
    </xf>
    <xf numFmtId="3" fontId="1" fillId="0" borderId="0" xfId="0" applyNumberFormat="1" applyFont="1" applyAlignment="1">
      <alignment horizontal="center" vertical="center"/>
    </xf>
    <xf numFmtId="9" fontId="0" fillId="0" borderId="0" xfId="0" applyNumberFormat="1"/>
    <xf numFmtId="165" fontId="0" fillId="0" borderId="0" xfId="0" applyNumberFormat="1"/>
    <xf numFmtId="0" fontId="0" fillId="0" borderId="41" xfId="0" applyBorder="1" applyAlignment="1">
      <alignment horizontal="center" vertical="center"/>
    </xf>
    <xf numFmtId="3" fontId="0" fillId="0" borderId="71" xfId="0" applyNumberFormat="1" applyBorder="1" applyAlignment="1">
      <alignment horizontal="center"/>
    </xf>
    <xf numFmtId="3" fontId="0" fillId="0" borderId="69" xfId="0" applyNumberFormat="1" applyBorder="1" applyAlignment="1">
      <alignment horizontal="center"/>
    </xf>
    <xf numFmtId="164" fontId="0" fillId="0" borderId="70" xfId="0" applyNumberFormat="1" applyBorder="1" applyAlignment="1">
      <alignment horizontal="center"/>
    </xf>
    <xf numFmtId="0" fontId="0" fillId="0" borderId="83" xfId="0" applyBorder="1" applyAlignment="1">
      <alignment horizontal="center"/>
    </xf>
    <xf numFmtId="1" fontId="0" fillId="0" borderId="83" xfId="0" applyNumberFormat="1" applyBorder="1" applyAlignment="1">
      <alignment horizontal="center" vertical="center"/>
    </xf>
    <xf numFmtId="3" fontId="0" fillId="0" borderId="86" xfId="0" applyNumberFormat="1" applyBorder="1" applyAlignment="1">
      <alignment horizontal="center"/>
    </xf>
    <xf numFmtId="3" fontId="0" fillId="0" borderId="87" xfId="0" applyNumberFormat="1" applyBorder="1" applyAlignment="1">
      <alignment horizontal="center"/>
    </xf>
    <xf numFmtId="0" fontId="0" fillId="0" borderId="7" xfId="0" applyBorder="1" applyAlignment="1">
      <alignment horizontal="center"/>
    </xf>
    <xf numFmtId="164" fontId="0" fillId="0" borderId="0" xfId="0" applyNumberFormat="1" applyAlignment="1">
      <alignment horizontal="right"/>
    </xf>
    <xf numFmtId="0" fontId="0" fillId="6" borderId="10" xfId="0" applyFill="1" applyBorder="1" applyAlignment="1">
      <alignment horizontal="center" vertical="center"/>
    </xf>
    <xf numFmtId="3" fontId="1" fillId="0" borderId="69" xfId="0" applyNumberFormat="1" applyFont="1" applyBorder="1" applyAlignment="1">
      <alignment horizontal="center"/>
    </xf>
    <xf numFmtId="1" fontId="2" fillId="0" borderId="40" xfId="0" applyNumberFormat="1" applyFont="1" applyBorder="1" applyAlignment="1">
      <alignment horizontal="center"/>
    </xf>
    <xf numFmtId="0" fontId="0" fillId="0" borderId="0" xfId="0" applyAlignment="1">
      <alignment horizontal="right" vertical="center"/>
    </xf>
    <xf numFmtId="0" fontId="0" fillId="0" borderId="0" xfId="0" applyAlignment="1">
      <alignment wrapText="1"/>
    </xf>
    <xf numFmtId="0" fontId="16" fillId="0" borderId="0" xfId="0" applyFont="1"/>
    <xf numFmtId="0" fontId="17" fillId="0" borderId="0" xfId="0" applyFont="1"/>
    <xf numFmtId="0" fontId="1" fillId="0" borderId="88" xfId="0" applyFont="1" applyBorder="1" applyAlignment="1">
      <alignment horizontal="center"/>
    </xf>
    <xf numFmtId="0" fontId="1" fillId="0" borderId="89" xfId="0" applyFont="1" applyBorder="1" applyAlignment="1">
      <alignment horizontal="center"/>
    </xf>
    <xf numFmtId="0" fontId="1" fillId="0" borderId="90" xfId="0" applyFont="1" applyBorder="1" applyAlignment="1">
      <alignment horizontal="center"/>
    </xf>
    <xf numFmtId="0" fontId="1" fillId="0" borderId="91" xfId="0" applyFont="1" applyBorder="1" applyAlignment="1">
      <alignment horizontal="center"/>
    </xf>
    <xf numFmtId="1" fontId="2" fillId="0" borderId="14" xfId="0" applyNumberFormat="1" applyFont="1" applyBorder="1" applyAlignment="1">
      <alignment horizontal="center"/>
    </xf>
    <xf numFmtId="1" fontId="4" fillId="0" borderId="66" xfId="0" applyNumberFormat="1" applyFont="1" applyBorder="1" applyAlignment="1">
      <alignment horizontal="left" vertical="top" wrapText="1"/>
    </xf>
    <xf numFmtId="166" fontId="4" fillId="0" borderId="66" xfId="0" applyNumberFormat="1" applyFont="1" applyBorder="1" applyAlignment="1">
      <alignment horizontal="left" vertical="top" wrapText="1"/>
    </xf>
    <xf numFmtId="167" fontId="4" fillId="0" borderId="66" xfId="0" applyNumberFormat="1" applyFont="1" applyBorder="1" applyAlignment="1">
      <alignment horizontal="left" vertical="top" wrapText="1"/>
    </xf>
    <xf numFmtId="3" fontId="0" fillId="0" borderId="92" xfId="0" applyNumberFormat="1" applyBorder="1" applyAlignment="1">
      <alignment horizontal="center"/>
    </xf>
    <xf numFmtId="168" fontId="1" fillId="0" borderId="0" xfId="0" applyNumberFormat="1" applyFont="1" applyAlignment="1">
      <alignment horizontal="center"/>
    </xf>
    <xf numFmtId="1" fontId="0" fillId="0" borderId="38" xfId="0" applyNumberFormat="1" applyBorder="1" applyAlignment="1">
      <alignment horizontal="center"/>
    </xf>
    <xf numFmtId="1" fontId="1" fillId="0" borderId="41" xfId="0" applyNumberFormat="1" applyFont="1" applyBorder="1" applyAlignment="1">
      <alignment horizontal="center" vertical="center"/>
    </xf>
    <xf numFmtId="164" fontId="0" fillId="0" borderId="48" xfId="0" applyNumberFormat="1" applyBorder="1" applyAlignment="1">
      <alignment horizontal="center"/>
    </xf>
    <xf numFmtId="0" fontId="6" fillId="0" borderId="23" xfId="0" applyFont="1" applyBorder="1" applyAlignment="1">
      <alignment horizontal="center" vertical="center"/>
    </xf>
    <xf numFmtId="0" fontId="1" fillId="0" borderId="4" xfId="0" applyFont="1" applyBorder="1"/>
    <xf numFmtId="0" fontId="0" fillId="0" borderId="4" xfId="0" applyBorder="1"/>
    <xf numFmtId="0" fontId="0" fillId="0" borderId="0" xfId="0"/>
    <xf numFmtId="0" fontId="2" fillId="0" borderId="17" xfId="0" applyFont="1" applyBorder="1" applyAlignment="1">
      <alignment vertical="center"/>
    </xf>
    <xf numFmtId="0" fontId="2" fillId="0" borderId="16" xfId="0" applyFont="1" applyBorder="1"/>
    <xf numFmtId="0" fontId="0" fillId="0" borderId="5" xfId="0" applyBorder="1"/>
    <xf numFmtId="0" fontId="0" fillId="4" borderId="18" xfId="0" applyFill="1" applyBorder="1" applyAlignment="1">
      <alignment vertical="center"/>
    </xf>
    <xf numFmtId="0" fontId="0" fillId="4" borderId="14" xfId="0" applyFill="1" applyBorder="1"/>
    <xf numFmtId="0" fontId="2" fillId="0" borderId="20" xfId="0" applyFont="1" applyBorder="1" applyAlignment="1">
      <alignment vertical="center"/>
    </xf>
    <xf numFmtId="0" fontId="2" fillId="0" borderId="21" xfId="0" applyFont="1" applyBorder="1"/>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84" xfId="0" applyBorder="1" applyAlignment="1">
      <alignment horizontal="right"/>
    </xf>
    <xf numFmtId="0" fontId="0" fillId="0" borderId="85" xfId="0" applyBorder="1"/>
    <xf numFmtId="0" fontId="15" fillId="0" borderId="84" xfId="0" applyFont="1" applyBorder="1" applyAlignment="1">
      <alignment horizontal="right"/>
    </xf>
    <xf numFmtId="0" fontId="1" fillId="0" borderId="84" xfId="0" applyFont="1" applyBorder="1" applyAlignment="1">
      <alignment horizontal="right"/>
    </xf>
    <xf numFmtId="0" fontId="0" fillId="0" borderId="84" xfId="0" applyBorder="1"/>
    <xf numFmtId="0" fontId="14" fillId="0" borderId="17" xfId="0" applyFont="1" applyBorder="1" applyAlignment="1">
      <alignment vertical="center" wrapText="1"/>
    </xf>
    <xf numFmtId="0" fontId="14" fillId="0" borderId="16" xfId="0" applyFont="1" applyBorder="1"/>
    <xf numFmtId="0" fontId="14" fillId="0" borderId="17" xfId="0" applyFont="1" applyBorder="1" applyAlignment="1">
      <alignment vertical="center"/>
    </xf>
    <xf numFmtId="0" fontId="14" fillId="0" borderId="16" xfId="0" applyFont="1" applyBorder="1" applyAlignment="1">
      <alignment wrapText="1"/>
    </xf>
    <xf numFmtId="0" fontId="2" fillId="0" borderId="23" xfId="0" applyFont="1" applyBorder="1" applyAlignment="1">
      <alignment vertical="center" wrapText="1"/>
    </xf>
    <xf numFmtId="0" fontId="2" fillId="0" borderId="24" xfId="0" applyFont="1" applyBorder="1" applyAlignment="1">
      <alignment wrapText="1"/>
    </xf>
    <xf numFmtId="0" fontId="2" fillId="4" borderId="18" xfId="0" applyFont="1" applyFill="1" applyBorder="1" applyAlignment="1">
      <alignment vertical="center" wrapText="1"/>
    </xf>
    <xf numFmtId="0" fontId="2" fillId="4" borderId="14" xfId="0" applyFont="1" applyFill="1" applyBorder="1" applyAlignment="1">
      <alignment wrapText="1"/>
    </xf>
    <xf numFmtId="0" fontId="2" fillId="0" borderId="20" xfId="0" applyFont="1" applyBorder="1" applyAlignment="1">
      <alignment vertical="center" wrapText="1"/>
    </xf>
    <xf numFmtId="0" fontId="2" fillId="0" borderId="21" xfId="0" applyFont="1" applyBorder="1" applyAlignment="1">
      <alignment wrapText="1"/>
    </xf>
    <xf numFmtId="0" fontId="14" fillId="0" borderId="26" xfId="0" applyFont="1" applyBorder="1" applyAlignment="1">
      <alignment vertical="center" wrapText="1"/>
    </xf>
    <xf numFmtId="0" fontId="0" fillId="0" borderId="30" xfId="0" applyBorder="1"/>
    <xf numFmtId="0" fontId="0" fillId="0" borderId="10" xfId="0" applyBorder="1" applyAlignment="1">
      <alignment vertical="center"/>
    </xf>
    <xf numFmtId="0" fontId="0" fillId="0" borderId="11" xfId="0" applyBorder="1"/>
    <xf numFmtId="0" fontId="0" fillId="0" borderId="93" xfId="0" applyBorder="1" applyAlignment="1">
      <alignment horizontal="left" wrapText="1"/>
    </xf>
    <xf numFmtId="0" fontId="11" fillId="0" borderId="51" xfId="0" applyFont="1" applyBorder="1" applyAlignment="1">
      <alignment horizontal="right"/>
    </xf>
    <xf numFmtId="0" fontId="10" fillId="0" borderId="52" xfId="0" applyFont="1" applyBorder="1" applyAlignment="1">
      <alignment horizontal="right"/>
    </xf>
    <xf numFmtId="0" fontId="10" fillId="0" borderId="72" xfId="0" applyFont="1" applyBorder="1" applyAlignment="1">
      <alignment horizontal="right"/>
    </xf>
    <xf numFmtId="0" fontId="0" fillId="0" borderId="54" xfId="0" applyBorder="1" applyAlignment="1">
      <alignment horizontal="right" wrapText="1"/>
    </xf>
    <xf numFmtId="0" fontId="0" fillId="0" borderId="55" xfId="0" applyBorder="1" applyAlignment="1">
      <alignment horizontal="right" wrapText="1"/>
    </xf>
    <xf numFmtId="0" fontId="0" fillId="0" borderId="56" xfId="0" applyBorder="1" applyAlignment="1">
      <alignment horizontal="right" wrapText="1"/>
    </xf>
    <xf numFmtId="0" fontId="0" fillId="0" borderId="20" xfId="0" applyBorder="1" applyAlignment="1">
      <alignment vertical="center"/>
    </xf>
    <xf numFmtId="0" fontId="0" fillId="0" borderId="21" xfId="0" applyBorder="1"/>
    <xf numFmtId="0" fontId="2" fillId="4" borderId="18" xfId="0" applyFont="1" applyFill="1" applyBorder="1" applyAlignment="1">
      <alignment vertical="center"/>
    </xf>
    <xf numFmtId="0" fontId="2" fillId="4" borderId="14" xfId="0" applyFont="1" applyFill="1" applyBorder="1"/>
    <xf numFmtId="0" fontId="2" fillId="0" borderId="26" xfId="0" applyFont="1" applyBorder="1" applyAlignment="1">
      <alignment vertical="center" wrapText="1"/>
    </xf>
    <xf numFmtId="0" fontId="0" fillId="0" borderId="30" xfId="0" applyBorder="1" applyAlignment="1">
      <alignment wrapText="1"/>
    </xf>
    <xf numFmtId="0" fontId="1" fillId="0" borderId="0" xfId="0" applyFont="1"/>
    <xf numFmtId="0" fontId="2" fillId="0" borderId="17" xfId="0" applyFont="1" applyBorder="1" applyAlignment="1">
      <alignment vertical="center" wrapText="1"/>
    </xf>
    <xf numFmtId="0" fontId="10" fillId="0" borderId="51" xfId="0" applyFont="1" applyBorder="1" applyAlignment="1">
      <alignment horizontal="right"/>
    </xf>
    <xf numFmtId="0" fontId="10" fillId="0" borderId="53" xfId="0" applyFont="1" applyBorder="1" applyAlignment="1">
      <alignment horizontal="right"/>
    </xf>
    <xf numFmtId="0" fontId="0" fillId="0" borderId="57" xfId="0" applyBorder="1" applyAlignment="1">
      <alignment horizontal="right" wrapText="1"/>
    </xf>
    <xf numFmtId="0" fontId="0" fillId="0" borderId="58" xfId="0" applyBorder="1" applyAlignment="1">
      <alignment horizontal="right" wrapText="1"/>
    </xf>
    <xf numFmtId="0" fontId="0" fillId="0" borderId="59" xfId="0" applyBorder="1" applyAlignment="1">
      <alignment horizontal="right" wrapText="1"/>
    </xf>
    <xf numFmtId="0" fontId="4" fillId="0" borderId="62" xfId="0" applyFont="1" applyBorder="1" applyAlignment="1">
      <alignment horizontal="left" vertical="top" wrapText="1"/>
    </xf>
    <xf numFmtId="0" fontId="4" fillId="0" borderId="66" xfId="0" applyFont="1" applyBorder="1" applyAlignment="1">
      <alignment horizontal="left" vertical="top" wrapText="1"/>
    </xf>
    <xf numFmtId="0" fontId="2" fillId="0" borderId="16" xfId="0" applyFont="1" applyBorder="1" applyAlignment="1">
      <alignment wrapText="1"/>
    </xf>
    <xf numFmtId="0" fontId="0" fillId="0" borderId="0" xfId="0" applyAlignment="1">
      <alignment wrapText="1"/>
    </xf>
    <xf numFmtId="0" fontId="1" fillId="0" borderId="0" xfId="0" applyFont="1" applyAlignment="1">
      <alignment horizontal="left"/>
    </xf>
    <xf numFmtId="0" fontId="0" fillId="0" borderId="0" xfId="0" applyAlignment="1">
      <alignment horizontal="left"/>
    </xf>
    <xf numFmtId="0" fontId="1" fillId="0" borderId="4" xfId="0" applyFont="1" applyBorder="1" applyAlignment="1">
      <alignment wrapText="1"/>
    </xf>
    <xf numFmtId="0" fontId="0" fillId="0" borderId="5" xfId="0" applyBorder="1" applyAlignment="1">
      <alignment wrapText="1"/>
    </xf>
    <xf numFmtId="0" fontId="0" fillId="4" borderId="18" xfId="0" applyFill="1" applyBorder="1" applyAlignment="1">
      <alignment vertical="center" wrapText="1"/>
    </xf>
    <xf numFmtId="0" fontId="0" fillId="4" borderId="14"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eemu Kettunen" id="{704289F0-ECBD-4307-91A1-C4242234EA8C}" userId="S::teemu.kettunen@motiva.fi::bffda460-0bf0-41b9-beee-e4f2e132558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1" dT="2022-11-17T08:10:37.01" personId="{704289F0-ECBD-4307-91A1-C4242234EA8C}" id="{7DB01B0E-C140-4F64-9666-9F5C8AA69BD3}">
    <text>Tähän pitäisi saada lisäksi energiakustannukset. Eli pitäisi laskea energiankulutus vain korjausvelkaa vähentävillä toimilla.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A136-8292-4537-AC8F-120DD6909F68}">
  <sheetPr>
    <pageSetUpPr fitToPage="1"/>
  </sheetPr>
  <dimension ref="A1:V86"/>
  <sheetViews>
    <sheetView showGridLines="0" tabSelected="1" zoomScale="70" zoomScaleNormal="70" workbookViewId="0"/>
  </sheetViews>
  <sheetFormatPr defaultRowHeight="14.6" x14ac:dyDescent="0.4"/>
  <cols>
    <col min="1" max="1" width="40.84375" customWidth="1"/>
    <col min="2" max="2" width="70" customWidth="1"/>
    <col min="3" max="3" width="14" customWidth="1"/>
    <col min="4" max="9" width="9.69140625" bestFit="1" customWidth="1"/>
    <col min="10" max="10" width="9.07421875" customWidth="1"/>
    <col min="11" max="13" width="9.69140625" bestFit="1" customWidth="1"/>
    <col min="14" max="14" width="14.3046875" customWidth="1"/>
    <col min="15" max="16" width="18.3046875" customWidth="1"/>
    <col min="17" max="17" width="18.3046875" style="6" customWidth="1"/>
    <col min="19" max="19" width="10" bestFit="1" customWidth="1"/>
  </cols>
  <sheetData>
    <row r="1" spans="1:17" x14ac:dyDescent="0.4">
      <c r="A1" s="1" t="s">
        <v>213</v>
      </c>
    </row>
    <row r="2" spans="1:17" x14ac:dyDescent="0.4">
      <c r="A2" s="1" t="s">
        <v>216</v>
      </c>
      <c r="D2" s="1"/>
      <c r="E2" s="1"/>
      <c r="F2" s="1"/>
      <c r="G2" s="1"/>
      <c r="H2" s="1"/>
      <c r="I2" s="1"/>
      <c r="J2" s="1"/>
      <c r="K2" s="1"/>
      <c r="L2" s="1"/>
      <c r="M2" s="1"/>
      <c r="N2" s="1"/>
    </row>
    <row r="3" spans="1:17" x14ac:dyDescent="0.4">
      <c r="A3" s="1"/>
      <c r="D3" s="1"/>
      <c r="E3" s="1"/>
      <c r="F3" s="1"/>
      <c r="G3" s="1"/>
      <c r="H3" s="1"/>
      <c r="I3" s="1"/>
      <c r="J3" s="1"/>
      <c r="K3" s="1"/>
      <c r="L3" s="1"/>
      <c r="M3" s="1"/>
      <c r="N3" s="1"/>
    </row>
    <row r="4" spans="1:17" ht="15" thickBot="1" x14ac:dyDescent="0.45">
      <c r="A4" s="1"/>
      <c r="D4" s="208" t="s">
        <v>214</v>
      </c>
      <c r="E4" s="208"/>
      <c r="F4" s="208"/>
      <c r="G4" s="208"/>
      <c r="H4" s="208"/>
      <c r="I4" s="208"/>
      <c r="J4" s="208"/>
      <c r="K4" s="208"/>
      <c r="L4" s="208"/>
      <c r="M4" s="208"/>
      <c r="N4" s="208"/>
      <c r="O4" s="209"/>
      <c r="P4" s="209"/>
      <c r="Q4" s="210"/>
    </row>
    <row r="5" spans="1:17" ht="15" thickBot="1" x14ac:dyDescent="0.45">
      <c r="A5" s="11"/>
      <c r="B5" s="12"/>
      <c r="C5" s="12"/>
      <c r="D5" s="218" t="s">
        <v>1</v>
      </c>
      <c r="E5" s="219"/>
      <c r="F5" s="219"/>
      <c r="G5" s="219"/>
      <c r="H5" s="219"/>
      <c r="I5" s="219"/>
      <c r="J5" s="219"/>
      <c r="K5" s="219"/>
      <c r="L5" s="219"/>
      <c r="M5" s="219"/>
      <c r="N5" s="219"/>
      <c r="O5" s="219"/>
      <c r="P5" s="220"/>
    </row>
    <row r="6" spans="1:17" ht="15" thickBot="1" x14ac:dyDescent="0.45">
      <c r="A6" s="13" t="s">
        <v>2</v>
      </c>
      <c r="B6" s="208" t="s">
        <v>3</v>
      </c>
      <c r="C6" s="213"/>
      <c r="D6" s="194">
        <v>2023</v>
      </c>
      <c r="E6" s="195">
        <v>2024</v>
      </c>
      <c r="F6" s="195">
        <v>2025</v>
      </c>
      <c r="G6" s="195">
        <v>2026</v>
      </c>
      <c r="H6" s="195">
        <v>2027</v>
      </c>
      <c r="I6" s="195">
        <v>2028</v>
      </c>
      <c r="J6" s="195">
        <v>2029</v>
      </c>
      <c r="K6" s="195">
        <v>2030</v>
      </c>
      <c r="L6" s="195">
        <v>2031</v>
      </c>
      <c r="M6" s="195">
        <v>2032</v>
      </c>
      <c r="N6" s="194" t="s">
        <v>4</v>
      </c>
      <c r="O6" s="196" t="s">
        <v>5</v>
      </c>
      <c r="P6" s="197" t="s">
        <v>6</v>
      </c>
      <c r="Q6"/>
    </row>
    <row r="7" spans="1:17" ht="15" thickBot="1" x14ac:dyDescent="0.45">
      <c r="A7" s="48" t="s">
        <v>7</v>
      </c>
      <c r="B7" s="214"/>
      <c r="C7" s="215"/>
      <c r="D7" s="27"/>
      <c r="E7" s="28"/>
      <c r="F7" s="28"/>
      <c r="G7" s="28"/>
      <c r="H7" s="28"/>
      <c r="I7" s="28"/>
      <c r="J7" s="28"/>
      <c r="K7" s="28"/>
      <c r="L7" s="28"/>
      <c r="M7" s="28"/>
      <c r="N7" s="27"/>
      <c r="O7" s="31"/>
      <c r="P7" s="34"/>
      <c r="Q7"/>
    </row>
    <row r="8" spans="1:17" s="3" customFormat="1" x14ac:dyDescent="0.4">
      <c r="A8" s="35" t="s">
        <v>8</v>
      </c>
      <c r="B8" s="216" t="s">
        <v>9</v>
      </c>
      <c r="C8" s="217"/>
      <c r="D8" s="50"/>
      <c r="E8" s="51"/>
      <c r="F8" s="51"/>
      <c r="G8" s="52">
        <v>12</v>
      </c>
      <c r="H8" s="52"/>
      <c r="I8" s="51"/>
      <c r="J8" s="51"/>
      <c r="K8" s="51"/>
      <c r="L8" s="51"/>
      <c r="M8" s="51"/>
      <c r="N8" s="50"/>
      <c r="O8" s="53"/>
      <c r="P8" s="54"/>
    </row>
    <row r="9" spans="1:17" s="3" customFormat="1" x14ac:dyDescent="0.4">
      <c r="A9" s="20" t="s">
        <v>10</v>
      </c>
      <c r="B9" s="211" t="s">
        <v>11</v>
      </c>
      <c r="C9" s="212"/>
      <c r="D9" s="55"/>
      <c r="E9" s="56"/>
      <c r="F9" s="56"/>
      <c r="G9" s="57">
        <v>3</v>
      </c>
      <c r="H9" s="57"/>
      <c r="I9" s="56"/>
      <c r="J9" s="56"/>
      <c r="K9" s="56"/>
      <c r="L9" s="56"/>
      <c r="M9" s="56"/>
      <c r="N9" s="55"/>
      <c r="O9" s="58"/>
      <c r="P9" s="59"/>
    </row>
    <row r="10" spans="1:17" s="3" customFormat="1" x14ac:dyDescent="0.4">
      <c r="A10" s="20" t="s">
        <v>12</v>
      </c>
      <c r="B10" s="211" t="s">
        <v>13</v>
      </c>
      <c r="C10" s="212"/>
      <c r="D10" s="55"/>
      <c r="E10" s="56"/>
      <c r="F10" s="56"/>
      <c r="G10" s="57">
        <v>10</v>
      </c>
      <c r="H10" s="56"/>
      <c r="I10" s="60"/>
      <c r="J10" s="56"/>
      <c r="K10" s="56"/>
      <c r="L10" s="56"/>
      <c r="M10" s="56"/>
      <c r="N10" s="55"/>
      <c r="O10" s="58"/>
      <c r="P10" s="59"/>
    </row>
    <row r="11" spans="1:17" s="3" customFormat="1" x14ac:dyDescent="0.4">
      <c r="A11" s="20" t="s">
        <v>14</v>
      </c>
      <c r="B11" s="211" t="s">
        <v>15</v>
      </c>
      <c r="C11" s="212"/>
      <c r="D11" s="55"/>
      <c r="E11" s="56"/>
      <c r="F11" s="56"/>
      <c r="G11" s="56"/>
      <c r="H11" s="56"/>
      <c r="I11" s="60"/>
      <c r="J11" s="56"/>
      <c r="K11" s="56"/>
      <c r="L11" s="56"/>
      <c r="M11" s="56"/>
      <c r="N11" s="61">
        <v>30</v>
      </c>
      <c r="O11" s="58"/>
      <c r="P11" s="59"/>
    </row>
    <row r="12" spans="1:17" s="83" customFormat="1" x14ac:dyDescent="0.4">
      <c r="A12" s="78" t="s">
        <v>14</v>
      </c>
      <c r="B12" s="228" t="s">
        <v>16</v>
      </c>
      <c r="C12" s="227"/>
      <c r="D12" s="79"/>
      <c r="E12" s="80"/>
      <c r="F12" s="80"/>
      <c r="G12" s="80"/>
      <c r="H12" s="80"/>
      <c r="I12" s="80"/>
      <c r="J12" s="80"/>
      <c r="K12" s="80"/>
      <c r="L12" s="80"/>
      <c r="M12" s="80"/>
      <c r="N12" s="79"/>
      <c r="O12" s="81">
        <v>1500</v>
      </c>
      <c r="P12" s="82"/>
    </row>
    <row r="13" spans="1:17" s="83" customFormat="1" x14ac:dyDescent="0.4">
      <c r="A13" s="78" t="s">
        <v>17</v>
      </c>
      <c r="B13" s="228" t="s">
        <v>18</v>
      </c>
      <c r="C13" s="227"/>
      <c r="D13" s="79"/>
      <c r="E13" s="84">
        <v>4</v>
      </c>
      <c r="F13" s="84"/>
      <c r="G13" s="84"/>
      <c r="H13" s="80"/>
      <c r="I13" s="80"/>
      <c r="J13" s="80"/>
      <c r="K13" s="80"/>
      <c r="L13" s="80"/>
      <c r="M13" s="80"/>
      <c r="N13" s="79"/>
      <c r="O13" s="81">
        <v>4</v>
      </c>
      <c r="P13" s="82"/>
    </row>
    <row r="14" spans="1:17" s="3" customFormat="1" x14ac:dyDescent="0.4">
      <c r="A14" s="20" t="s">
        <v>19</v>
      </c>
      <c r="B14" s="211" t="s">
        <v>20</v>
      </c>
      <c r="C14" s="212"/>
      <c r="D14" s="55"/>
      <c r="E14" s="56"/>
      <c r="F14" s="56"/>
      <c r="G14" s="57">
        <v>8</v>
      </c>
      <c r="H14" s="57"/>
      <c r="I14" s="56"/>
      <c r="J14" s="56"/>
      <c r="K14" s="56"/>
      <c r="L14" s="56"/>
      <c r="M14" s="56"/>
      <c r="N14" s="55"/>
      <c r="O14" s="58"/>
      <c r="P14" s="59"/>
    </row>
    <row r="15" spans="1:17" s="83" customFormat="1" ht="30" customHeight="1" x14ac:dyDescent="0.4">
      <c r="A15" s="78" t="s">
        <v>19</v>
      </c>
      <c r="B15" s="226" t="s">
        <v>106</v>
      </c>
      <c r="C15" s="229"/>
      <c r="D15" s="79"/>
      <c r="E15" s="80"/>
      <c r="F15" s="80"/>
      <c r="G15" s="80"/>
      <c r="H15" s="80"/>
      <c r="I15" s="80"/>
      <c r="J15" s="80"/>
      <c r="K15" s="80"/>
      <c r="L15" s="80"/>
      <c r="M15" s="80"/>
      <c r="N15" s="79"/>
      <c r="O15" s="81">
        <v>0</v>
      </c>
      <c r="P15" s="82"/>
    </row>
    <row r="16" spans="1:17" s="83" customFormat="1" x14ac:dyDescent="0.4">
      <c r="A16" s="78" t="s">
        <v>21</v>
      </c>
      <c r="B16" s="228" t="s">
        <v>22</v>
      </c>
      <c r="C16" s="227"/>
      <c r="D16" s="79"/>
      <c r="E16" s="84">
        <v>110</v>
      </c>
      <c r="F16" s="84"/>
      <c r="G16" s="84"/>
      <c r="H16" s="80"/>
      <c r="I16" s="80"/>
      <c r="J16" s="80"/>
      <c r="K16" s="80"/>
      <c r="L16" s="80"/>
      <c r="M16" s="80"/>
      <c r="N16" s="79"/>
      <c r="O16" s="85"/>
      <c r="P16" s="82"/>
    </row>
    <row r="17" spans="1:16" s="3" customFormat="1" ht="27" customHeight="1" thickBot="1" x14ac:dyDescent="0.45">
      <c r="A17" s="62" t="s">
        <v>23</v>
      </c>
      <c r="B17" s="230" t="s">
        <v>24</v>
      </c>
      <c r="C17" s="231"/>
      <c r="D17" s="63"/>
      <c r="E17" s="64"/>
      <c r="F17" s="65">
        <v>5</v>
      </c>
      <c r="G17" s="65"/>
      <c r="H17" s="64"/>
      <c r="I17" s="64"/>
      <c r="J17" s="64"/>
      <c r="K17" s="64"/>
      <c r="L17" s="64"/>
      <c r="M17" s="64"/>
      <c r="N17" s="63"/>
      <c r="O17" s="66"/>
      <c r="P17" s="67"/>
    </row>
    <row r="18" spans="1:16" s="3" customFormat="1" ht="15" thickBot="1" x14ac:dyDescent="0.45">
      <c r="A18" s="68" t="s">
        <v>25</v>
      </c>
      <c r="B18" s="232"/>
      <c r="C18" s="233"/>
      <c r="D18" s="69"/>
      <c r="E18" s="70"/>
      <c r="F18" s="70"/>
      <c r="G18" s="70"/>
      <c r="H18" s="70"/>
      <c r="I18" s="70"/>
      <c r="J18" s="70"/>
      <c r="K18" s="70"/>
      <c r="L18" s="70"/>
      <c r="M18" s="70"/>
      <c r="N18" s="69"/>
      <c r="O18" s="71"/>
      <c r="P18" s="72"/>
    </row>
    <row r="19" spans="1:16" s="3" customFormat="1" x14ac:dyDescent="0.4">
      <c r="A19" s="35" t="s">
        <v>26</v>
      </c>
      <c r="B19" s="234" t="s">
        <v>27</v>
      </c>
      <c r="C19" s="235"/>
      <c r="D19" s="52">
        <v>10</v>
      </c>
      <c r="E19" s="51"/>
      <c r="F19" s="51"/>
      <c r="G19" s="51"/>
      <c r="H19" s="51"/>
      <c r="I19" s="51"/>
      <c r="J19" s="51"/>
      <c r="K19" s="51"/>
      <c r="L19" s="51"/>
      <c r="M19" s="51"/>
      <c r="N19" s="50"/>
      <c r="O19" s="53"/>
      <c r="P19" s="54"/>
    </row>
    <row r="20" spans="1:16" s="83" customFormat="1" ht="29.15" customHeight="1" x14ac:dyDescent="0.4">
      <c r="A20" s="78" t="s">
        <v>26</v>
      </c>
      <c r="B20" s="226" t="s">
        <v>28</v>
      </c>
      <c r="C20" s="229"/>
      <c r="D20" s="79"/>
      <c r="E20" s="84">
        <v>160</v>
      </c>
      <c r="F20" s="84"/>
      <c r="G20" s="80"/>
      <c r="H20" s="80"/>
      <c r="I20" s="80"/>
      <c r="J20" s="80"/>
      <c r="K20" s="80"/>
      <c r="L20" s="80"/>
      <c r="M20" s="80"/>
      <c r="N20" s="79"/>
      <c r="O20" s="85"/>
      <c r="P20" s="82"/>
    </row>
    <row r="21" spans="1:16" s="83" customFormat="1" ht="32.25" customHeight="1" x14ac:dyDescent="0.4">
      <c r="A21" s="78" t="s">
        <v>26</v>
      </c>
      <c r="B21" s="226" t="s">
        <v>29</v>
      </c>
      <c r="C21" s="227"/>
      <c r="D21" s="79"/>
      <c r="E21" s="84">
        <v>0</v>
      </c>
      <c r="F21" s="84"/>
      <c r="G21" s="80"/>
      <c r="H21" s="80"/>
      <c r="I21" s="80"/>
      <c r="J21" s="80"/>
      <c r="K21" s="80"/>
      <c r="L21" s="80"/>
      <c r="M21" s="80"/>
      <c r="N21" s="79"/>
      <c r="O21" s="85"/>
      <c r="P21" s="82"/>
    </row>
    <row r="22" spans="1:16" s="83" customFormat="1" ht="32.25" customHeight="1" x14ac:dyDescent="0.4">
      <c r="A22" s="78" t="s">
        <v>26</v>
      </c>
      <c r="B22" s="236" t="s">
        <v>30</v>
      </c>
      <c r="C22" s="237"/>
      <c r="D22" s="79"/>
      <c r="E22" s="84">
        <v>0</v>
      </c>
      <c r="F22" s="80"/>
      <c r="G22" s="80"/>
      <c r="H22" s="80"/>
      <c r="I22" s="80"/>
      <c r="J22" s="80"/>
      <c r="K22" s="80"/>
      <c r="L22" s="80"/>
      <c r="M22" s="80"/>
      <c r="N22" s="79"/>
      <c r="O22" s="85"/>
      <c r="P22" s="82"/>
    </row>
    <row r="23" spans="1:16" s="3" customFormat="1" x14ac:dyDescent="0.4">
      <c r="A23" s="20" t="s">
        <v>31</v>
      </c>
      <c r="B23" s="211" t="s">
        <v>32</v>
      </c>
      <c r="C23" s="212"/>
      <c r="D23" s="61">
        <v>40</v>
      </c>
      <c r="E23" s="57"/>
      <c r="F23" s="56"/>
      <c r="G23" s="56"/>
      <c r="H23" s="56"/>
      <c r="I23" s="56"/>
      <c r="J23" s="56"/>
      <c r="K23" s="56"/>
      <c r="L23" s="56"/>
      <c r="M23" s="56"/>
      <c r="N23" s="55"/>
      <c r="O23" s="58"/>
      <c r="P23" s="59"/>
    </row>
    <row r="24" spans="1:16" s="83" customFormat="1" x14ac:dyDescent="0.4">
      <c r="A24" s="78" t="s">
        <v>31</v>
      </c>
      <c r="B24" s="228" t="s">
        <v>33</v>
      </c>
      <c r="C24" s="227"/>
      <c r="D24" s="79"/>
      <c r="E24" s="84">
        <v>3500</v>
      </c>
      <c r="F24" s="84"/>
      <c r="G24" s="84"/>
      <c r="H24" s="80"/>
      <c r="I24" s="80"/>
      <c r="J24" s="80"/>
      <c r="K24" s="80"/>
      <c r="L24" s="80"/>
      <c r="M24" s="80"/>
      <c r="N24" s="79"/>
      <c r="O24" s="85"/>
      <c r="P24" s="82"/>
    </row>
    <row r="25" spans="1:16" s="3" customFormat="1" ht="31.4" customHeight="1" x14ac:dyDescent="0.4">
      <c r="A25" s="20" t="s">
        <v>31</v>
      </c>
      <c r="B25" s="226" t="s">
        <v>34</v>
      </c>
      <c r="C25" s="229"/>
      <c r="D25" s="55"/>
      <c r="E25" s="57">
        <v>0</v>
      </c>
      <c r="F25" s="57"/>
      <c r="G25" s="57"/>
      <c r="H25" s="56"/>
      <c r="I25" s="56"/>
      <c r="J25" s="56"/>
      <c r="K25" s="56"/>
      <c r="L25" s="56"/>
      <c r="M25" s="56"/>
      <c r="N25" s="55"/>
      <c r="O25" s="58"/>
      <c r="P25" s="59"/>
    </row>
    <row r="26" spans="1:16" s="3" customFormat="1" ht="30" customHeight="1" x14ac:dyDescent="0.4">
      <c r="A26" s="20" t="s">
        <v>31</v>
      </c>
      <c r="B26" s="251" t="s">
        <v>35</v>
      </c>
      <c r="C26" s="252"/>
      <c r="D26" s="55"/>
      <c r="E26" s="57">
        <v>0</v>
      </c>
      <c r="F26" s="57"/>
      <c r="G26" s="57"/>
      <c r="H26" s="56"/>
      <c r="I26" s="56"/>
      <c r="J26" s="56"/>
      <c r="K26" s="56"/>
      <c r="L26" s="56"/>
      <c r="M26" s="56"/>
      <c r="N26" s="55"/>
      <c r="O26" s="58"/>
      <c r="P26" s="59"/>
    </row>
    <row r="27" spans="1:16" s="83" customFormat="1" x14ac:dyDescent="0.4">
      <c r="A27" s="78" t="s">
        <v>36</v>
      </c>
      <c r="B27" s="226" t="s">
        <v>37</v>
      </c>
      <c r="C27" s="227"/>
      <c r="D27" s="79"/>
      <c r="E27" s="84">
        <v>0</v>
      </c>
      <c r="F27" s="84"/>
      <c r="G27" s="80"/>
      <c r="H27" s="80"/>
      <c r="I27" s="80"/>
      <c r="J27" s="80"/>
      <c r="K27" s="80"/>
      <c r="L27" s="80"/>
      <c r="M27" s="80"/>
      <c r="N27" s="79"/>
      <c r="O27" s="85"/>
      <c r="P27" s="82"/>
    </row>
    <row r="28" spans="1:16" s="3" customFormat="1" ht="15" thickBot="1" x14ac:dyDescent="0.45">
      <c r="A28" s="62" t="s">
        <v>38</v>
      </c>
      <c r="B28" s="230" t="s">
        <v>39</v>
      </c>
      <c r="C28" s="231"/>
      <c r="D28" s="73">
        <v>1</v>
      </c>
      <c r="E28" s="64"/>
      <c r="F28" s="64"/>
      <c r="G28" s="64"/>
      <c r="H28" s="64"/>
      <c r="I28" s="64"/>
      <c r="J28" s="64"/>
      <c r="K28" s="64"/>
      <c r="L28" s="64"/>
      <c r="M28" s="64"/>
      <c r="N28" s="63"/>
      <c r="O28" s="66"/>
      <c r="P28" s="67"/>
    </row>
    <row r="29" spans="1:16" s="3" customFormat="1" ht="15" thickBot="1" x14ac:dyDescent="0.45">
      <c r="A29" s="68" t="s">
        <v>40</v>
      </c>
      <c r="B29" s="232"/>
      <c r="C29" s="233"/>
      <c r="D29" s="69"/>
      <c r="E29" s="70"/>
      <c r="F29" s="70"/>
      <c r="G29" s="70"/>
      <c r="H29" s="70"/>
      <c r="I29" s="70"/>
      <c r="J29" s="70"/>
      <c r="K29" s="70"/>
      <c r="L29" s="70"/>
      <c r="M29" s="70"/>
      <c r="N29" s="69"/>
      <c r="O29" s="71"/>
      <c r="P29" s="72"/>
    </row>
    <row r="30" spans="1:16" s="3" customFormat="1" x14ac:dyDescent="0.4">
      <c r="A30" s="25" t="s">
        <v>41</v>
      </c>
      <c r="B30" s="234" t="s">
        <v>42</v>
      </c>
      <c r="C30" s="235"/>
      <c r="D30" s="74">
        <v>0</v>
      </c>
      <c r="E30" s="52"/>
      <c r="F30" s="51"/>
      <c r="G30" s="51"/>
      <c r="H30" s="51"/>
      <c r="I30" s="51"/>
      <c r="J30" s="51"/>
      <c r="K30" s="51"/>
      <c r="L30" s="51"/>
      <c r="M30" s="51"/>
      <c r="N30" s="50"/>
      <c r="O30" s="53"/>
      <c r="P30" s="54"/>
    </row>
    <row r="31" spans="1:16" s="83" customFormat="1" ht="30" customHeight="1" x14ac:dyDescent="0.4">
      <c r="A31" s="86" t="s">
        <v>41</v>
      </c>
      <c r="B31" s="226" t="s">
        <v>43</v>
      </c>
      <c r="C31" s="229"/>
      <c r="D31" s="79"/>
      <c r="E31" s="84">
        <v>0</v>
      </c>
      <c r="F31" s="84"/>
      <c r="G31" s="84"/>
      <c r="H31" s="80"/>
      <c r="I31" s="80"/>
      <c r="J31" s="80"/>
      <c r="K31" s="80"/>
      <c r="L31" s="80"/>
      <c r="M31" s="80"/>
      <c r="N31" s="79"/>
      <c r="O31" s="85"/>
      <c r="P31" s="82"/>
    </row>
    <row r="32" spans="1:16" s="83" customFormat="1" x14ac:dyDescent="0.4">
      <c r="A32" s="86" t="s">
        <v>44</v>
      </c>
      <c r="B32" s="226" t="s">
        <v>45</v>
      </c>
      <c r="C32" s="229"/>
      <c r="D32" s="79"/>
      <c r="E32" s="84">
        <v>40</v>
      </c>
      <c r="F32" s="84"/>
      <c r="G32" s="84"/>
      <c r="H32" s="80"/>
      <c r="I32" s="80"/>
      <c r="J32" s="80"/>
      <c r="K32" s="80"/>
      <c r="L32" s="80"/>
      <c r="M32" s="80"/>
      <c r="N32" s="79"/>
      <c r="O32" s="85"/>
      <c r="P32" s="82"/>
    </row>
    <row r="33" spans="1:22" s="3" customFormat="1" ht="15" thickBot="1" x14ac:dyDescent="0.45">
      <c r="A33" s="75" t="s">
        <v>46</v>
      </c>
      <c r="B33" s="230" t="s">
        <v>47</v>
      </c>
      <c r="C33" s="231"/>
      <c r="D33" s="63"/>
      <c r="E33" s="65">
        <v>10</v>
      </c>
      <c r="F33" s="65"/>
      <c r="G33" s="65"/>
      <c r="H33" s="64"/>
      <c r="I33" s="64"/>
      <c r="J33" s="64"/>
      <c r="K33" s="64"/>
      <c r="L33" s="64"/>
      <c r="M33" s="64"/>
      <c r="N33" s="63"/>
      <c r="O33" s="66"/>
      <c r="P33" s="67"/>
    </row>
    <row r="34" spans="1:22" s="3" customFormat="1" ht="15" thickBot="1" x14ac:dyDescent="0.45">
      <c r="A34" s="68" t="s">
        <v>48</v>
      </c>
      <c r="B34" s="249"/>
      <c r="C34" s="250"/>
      <c r="D34" s="69"/>
      <c r="E34" s="70"/>
      <c r="F34" s="70"/>
      <c r="G34" s="70"/>
      <c r="H34" s="70"/>
      <c r="I34" s="70"/>
      <c r="J34" s="70"/>
      <c r="K34" s="70"/>
      <c r="L34" s="70"/>
      <c r="M34" s="70"/>
      <c r="N34" s="69"/>
      <c r="O34" s="71"/>
      <c r="P34" s="72"/>
    </row>
    <row r="35" spans="1:22" x14ac:dyDescent="0.4">
      <c r="A35" s="35" t="s">
        <v>49</v>
      </c>
      <c r="B35" s="247" t="s">
        <v>50</v>
      </c>
      <c r="C35" s="248"/>
      <c r="D35" s="22"/>
      <c r="E35" s="23"/>
      <c r="F35" s="23"/>
      <c r="G35" s="23"/>
      <c r="H35" s="36"/>
      <c r="I35" s="24">
        <v>8</v>
      </c>
      <c r="J35" s="23"/>
      <c r="K35" s="23"/>
      <c r="L35" s="23"/>
      <c r="M35" s="23"/>
      <c r="N35" s="26">
        <v>8</v>
      </c>
      <c r="O35" s="38">
        <v>8</v>
      </c>
      <c r="P35" s="39">
        <v>8</v>
      </c>
      <c r="Q35"/>
    </row>
    <row r="36" spans="1:22" ht="15" thickBot="1" x14ac:dyDescent="0.45">
      <c r="A36" s="21" t="s">
        <v>51</v>
      </c>
      <c r="B36" s="238" t="s">
        <v>52</v>
      </c>
      <c r="C36" s="239"/>
      <c r="D36" s="17"/>
      <c r="E36" s="18"/>
      <c r="F36" s="18"/>
      <c r="G36" s="18"/>
      <c r="H36" s="18"/>
      <c r="I36" s="18"/>
      <c r="J36" s="18"/>
      <c r="K36" s="18"/>
      <c r="L36" s="18"/>
      <c r="M36" s="187">
        <v>12</v>
      </c>
      <c r="N36" s="17"/>
      <c r="O36" s="32"/>
      <c r="P36" s="14"/>
      <c r="Q36"/>
    </row>
    <row r="37" spans="1:22" ht="15" thickBot="1" x14ac:dyDescent="0.45">
      <c r="A37" s="40"/>
      <c r="B37" s="42"/>
      <c r="C37" s="41" t="s">
        <v>53</v>
      </c>
      <c r="D37" s="15">
        <f t="shared" ref="D37:P37" si="0">SUM(D7:D36)</f>
        <v>51</v>
      </c>
      <c r="E37" s="19">
        <f t="shared" si="0"/>
        <v>3824</v>
      </c>
      <c r="F37" s="19">
        <f t="shared" si="0"/>
        <v>5</v>
      </c>
      <c r="G37" s="19">
        <f t="shared" si="0"/>
        <v>33</v>
      </c>
      <c r="H37" s="19">
        <f t="shared" si="0"/>
        <v>0</v>
      </c>
      <c r="I37" s="19">
        <f t="shared" si="0"/>
        <v>8</v>
      </c>
      <c r="J37" s="19">
        <f t="shared" si="0"/>
        <v>0</v>
      </c>
      <c r="K37" s="19">
        <f t="shared" si="0"/>
        <v>0</v>
      </c>
      <c r="L37" s="19">
        <f t="shared" si="0"/>
        <v>0</v>
      </c>
      <c r="M37" s="19">
        <f t="shared" si="0"/>
        <v>12</v>
      </c>
      <c r="N37" s="15">
        <f t="shared" si="0"/>
        <v>38</v>
      </c>
      <c r="O37" s="33">
        <f t="shared" si="0"/>
        <v>1512</v>
      </c>
      <c r="P37" s="16">
        <f t="shared" si="0"/>
        <v>8</v>
      </c>
      <c r="Q37"/>
    </row>
    <row r="38" spans="1:22" x14ac:dyDescent="0.4">
      <c r="C38" s="5"/>
      <c r="D38" s="6"/>
      <c r="E38" s="6"/>
      <c r="F38" s="6"/>
      <c r="G38" s="6"/>
      <c r="H38" s="6"/>
      <c r="I38" s="6"/>
      <c r="J38" s="6"/>
      <c r="K38" s="6"/>
      <c r="L38" s="6"/>
      <c r="M38" s="6"/>
      <c r="N38" s="6"/>
      <c r="O38" s="6"/>
      <c r="P38" s="6"/>
      <c r="Q38"/>
    </row>
    <row r="39" spans="1:22" ht="15" thickBot="1" x14ac:dyDescent="0.45">
      <c r="D39" s="6"/>
      <c r="E39" s="6"/>
      <c r="F39" s="6"/>
      <c r="G39" s="6"/>
      <c r="H39" s="6"/>
      <c r="I39" s="6"/>
      <c r="J39" s="6"/>
      <c r="K39" s="6"/>
      <c r="L39" s="6"/>
      <c r="M39" s="6"/>
      <c r="N39" s="6"/>
      <c r="O39" s="6"/>
      <c r="P39" s="6"/>
      <c r="Q39"/>
    </row>
    <row r="40" spans="1:22" ht="15" thickBot="1" x14ac:dyDescent="0.45">
      <c r="B40" s="92"/>
      <c r="C40" s="93" t="s">
        <v>54</v>
      </c>
      <c r="D40" s="94">
        <v>2023</v>
      </c>
      <c r="E40" s="95">
        <v>2024</v>
      </c>
      <c r="F40" s="95">
        <v>2025</v>
      </c>
      <c r="G40" s="95">
        <v>2026</v>
      </c>
      <c r="H40" s="95">
        <v>2027</v>
      </c>
      <c r="I40" s="95">
        <v>2028</v>
      </c>
      <c r="J40" s="95">
        <v>2029</v>
      </c>
      <c r="K40" s="95">
        <v>2030</v>
      </c>
      <c r="L40" s="95">
        <v>2031</v>
      </c>
      <c r="M40" s="95">
        <v>2032</v>
      </c>
      <c r="N40" s="117">
        <v>2037</v>
      </c>
      <c r="O40" s="118">
        <v>2042</v>
      </c>
      <c r="P40" s="96">
        <v>2050</v>
      </c>
      <c r="Q40"/>
    </row>
    <row r="41" spans="1:22" ht="15" thickBot="1" x14ac:dyDescent="0.45">
      <c r="B41" s="137" t="s">
        <v>55</v>
      </c>
      <c r="C41" s="97">
        <v>215</v>
      </c>
      <c r="D41" s="98">
        <v>215</v>
      </c>
      <c r="E41" s="99">
        <v>114</v>
      </c>
      <c r="F41" s="99">
        <v>114</v>
      </c>
      <c r="G41" s="99">
        <v>114</v>
      </c>
      <c r="H41" s="99">
        <v>114</v>
      </c>
      <c r="I41" s="99">
        <v>114</v>
      </c>
      <c r="J41" s="99">
        <v>114</v>
      </c>
      <c r="K41" s="99">
        <v>114</v>
      </c>
      <c r="L41" s="99">
        <v>114</v>
      </c>
      <c r="M41" s="99">
        <v>114</v>
      </c>
      <c r="N41" s="128">
        <v>114</v>
      </c>
      <c r="O41" s="129">
        <v>75</v>
      </c>
      <c r="P41" s="177">
        <v>75</v>
      </c>
      <c r="Q41"/>
    </row>
    <row r="42" spans="1:22" x14ac:dyDescent="0.4">
      <c r="B42" s="154" t="s">
        <v>56</v>
      </c>
      <c r="C42" s="8"/>
      <c r="D42" s="7"/>
      <c r="E42" s="7"/>
      <c r="F42" s="7"/>
      <c r="G42" s="7"/>
      <c r="H42" s="7"/>
      <c r="I42" s="7"/>
      <c r="J42" s="7"/>
      <c r="K42" s="7"/>
      <c r="L42" s="7"/>
      <c r="M42" s="7"/>
      <c r="N42" s="7"/>
      <c r="O42" s="7"/>
      <c r="P42" s="9"/>
      <c r="Q42"/>
    </row>
    <row r="43" spans="1:22" ht="15" thickBot="1" x14ac:dyDescent="0.45">
      <c r="C43" s="8"/>
      <c r="D43" s="7"/>
      <c r="E43" s="7"/>
      <c r="F43" s="7"/>
      <c r="G43" s="7"/>
      <c r="H43" s="7"/>
      <c r="I43" s="7"/>
      <c r="J43" s="7"/>
      <c r="K43" s="7"/>
      <c r="L43" s="7"/>
      <c r="M43" s="7"/>
      <c r="N43" s="7"/>
      <c r="O43" s="7"/>
      <c r="P43" s="9"/>
      <c r="Q43"/>
    </row>
    <row r="44" spans="1:22" ht="15" thickBot="1" x14ac:dyDescent="0.45">
      <c r="B44" s="92"/>
      <c r="C44" s="93" t="s">
        <v>54</v>
      </c>
      <c r="D44" s="94">
        <v>2023</v>
      </c>
      <c r="E44" s="95">
        <v>2024</v>
      </c>
      <c r="F44" s="95">
        <v>2025</v>
      </c>
      <c r="G44" s="95">
        <v>2026</v>
      </c>
      <c r="H44" s="95">
        <v>2027</v>
      </c>
      <c r="I44" s="95">
        <v>2028</v>
      </c>
      <c r="J44" s="95">
        <v>2029</v>
      </c>
      <c r="K44" s="95">
        <v>2030</v>
      </c>
      <c r="L44" s="95">
        <v>2031</v>
      </c>
      <c r="M44" s="95">
        <v>2032</v>
      </c>
      <c r="N44" s="117">
        <v>2037</v>
      </c>
      <c r="O44" s="118">
        <v>2042</v>
      </c>
      <c r="P44" s="96">
        <v>2050</v>
      </c>
      <c r="Q44"/>
    </row>
    <row r="45" spans="1:22" x14ac:dyDescent="0.4">
      <c r="A45" s="2"/>
      <c r="B45" s="133" t="s">
        <v>57</v>
      </c>
      <c r="C45" s="160">
        <f t="shared" ref="C45:O46" si="1">C69</f>
        <v>79889</v>
      </c>
      <c r="D45" s="161">
        <f t="shared" si="1"/>
        <v>79889</v>
      </c>
      <c r="E45" s="162">
        <f t="shared" si="1"/>
        <v>93534</v>
      </c>
      <c r="F45" s="162">
        <f t="shared" si="1"/>
        <v>93534</v>
      </c>
      <c r="G45" s="162">
        <f t="shared" si="1"/>
        <v>93534</v>
      </c>
      <c r="H45" s="162">
        <f t="shared" si="1"/>
        <v>93534</v>
      </c>
      <c r="I45" s="162">
        <f t="shared" si="1"/>
        <v>93534</v>
      </c>
      <c r="J45" s="162">
        <f t="shared" si="1"/>
        <v>93534</v>
      </c>
      <c r="K45" s="162">
        <f t="shared" si="1"/>
        <v>93534</v>
      </c>
      <c r="L45" s="162">
        <f t="shared" si="1"/>
        <v>93534</v>
      </c>
      <c r="M45" s="162">
        <f t="shared" si="1"/>
        <v>93534</v>
      </c>
      <c r="N45" s="163">
        <f t="shared" si="1"/>
        <v>93534</v>
      </c>
      <c r="O45" s="164">
        <f t="shared" si="1"/>
        <v>92838</v>
      </c>
      <c r="P45" s="178">
        <f>P69</f>
        <v>92838</v>
      </c>
      <c r="Q45"/>
    </row>
    <row r="46" spans="1:22" x14ac:dyDescent="0.4">
      <c r="A46" s="2"/>
      <c r="B46" s="134" t="s">
        <v>58</v>
      </c>
      <c r="C46" s="165">
        <f>C70</f>
        <v>713981</v>
      </c>
      <c r="D46" s="166">
        <f>D70</f>
        <v>713981</v>
      </c>
      <c r="E46" s="167">
        <f>E70</f>
        <v>254198</v>
      </c>
      <c r="F46" s="167">
        <f t="shared" si="1"/>
        <v>254198</v>
      </c>
      <c r="G46" s="167">
        <f t="shared" si="1"/>
        <v>254198</v>
      </c>
      <c r="H46" s="167">
        <f t="shared" si="1"/>
        <v>254198</v>
      </c>
      <c r="I46" s="167">
        <f t="shared" si="1"/>
        <v>254198</v>
      </c>
      <c r="J46" s="167">
        <f t="shared" si="1"/>
        <v>254198</v>
      </c>
      <c r="K46" s="167">
        <f t="shared" si="1"/>
        <v>254198</v>
      </c>
      <c r="L46" s="167">
        <f t="shared" si="1"/>
        <v>254198</v>
      </c>
      <c r="M46" s="167">
        <f t="shared" si="1"/>
        <v>254198</v>
      </c>
      <c r="N46" s="168">
        <f>N70</f>
        <v>254198</v>
      </c>
      <c r="O46" s="169">
        <f t="shared" si="1"/>
        <v>90371</v>
      </c>
      <c r="P46" s="179">
        <f>P70</f>
        <v>90371</v>
      </c>
      <c r="Q46"/>
      <c r="S46" s="138"/>
      <c r="V46" s="138"/>
    </row>
    <row r="47" spans="1:22" x14ac:dyDescent="0.4">
      <c r="B47" s="135" t="s">
        <v>59</v>
      </c>
      <c r="C47" s="165">
        <f>C62*C69/1000+C63</f>
        <v>24902.7</v>
      </c>
      <c r="D47" s="166">
        <f>(D63+D62*D69/1000)</f>
        <v>24902.7</v>
      </c>
      <c r="E47" s="167">
        <f>(E63+E62*E69/1000)</f>
        <v>20225.844000000001</v>
      </c>
      <c r="F47" s="167">
        <f>(F63+F62*F69/1000)</f>
        <v>15594.715320000001</v>
      </c>
      <c r="G47" s="167">
        <f t="shared" ref="G47:O47" si="2">(G63+G62*G69/1000)</f>
        <v>16062.556779600001</v>
      </c>
      <c r="H47" s="167">
        <f t="shared" si="2"/>
        <v>16544.433482987999</v>
      </c>
      <c r="I47" s="167">
        <f t="shared" si="2"/>
        <v>17040.766487477642</v>
      </c>
      <c r="J47" s="167">
        <f t="shared" si="2"/>
        <v>17551.98948210197</v>
      </c>
      <c r="K47" s="167">
        <f t="shared" si="2"/>
        <v>18078.54916656503</v>
      </c>
      <c r="L47" s="167">
        <f t="shared" si="2"/>
        <v>18620.905641561982</v>
      </c>
      <c r="M47" s="167">
        <f t="shared" si="2"/>
        <v>19179.53281080884</v>
      </c>
      <c r="N47" s="168">
        <f>(N63+N62*N69/1000)</f>
        <v>22234.335144756893</v>
      </c>
      <c r="O47" s="169">
        <f t="shared" si="2"/>
        <v>25603.130999804831</v>
      </c>
      <c r="P47" s="179">
        <f>(P63+P62*P69/1000)</f>
        <v>32433.280340400561</v>
      </c>
      <c r="Q47"/>
      <c r="R47" s="7"/>
      <c r="S47" s="138"/>
    </row>
    <row r="48" spans="1:22" x14ac:dyDescent="0.4">
      <c r="B48" s="135" t="s">
        <v>60</v>
      </c>
      <c r="C48" s="165">
        <f>C65*C70/1000+C66</f>
        <v>71540.055000000008</v>
      </c>
      <c r="D48" s="166">
        <f>D65*D70/1000+D66</f>
        <v>71540.055000000008</v>
      </c>
      <c r="E48" s="166">
        <f>E65*E70/1000+E66</f>
        <v>28873.073299999996</v>
      </c>
      <c r="F48" s="167">
        <f>F65*F70/1000+F66</f>
        <v>29739.265499000001</v>
      </c>
      <c r="G48" s="167">
        <f t="shared" ref="G48:M48" si="3">G65*G70/1000+G66</f>
        <v>30631.443463970005</v>
      </c>
      <c r="H48" s="167">
        <f t="shared" si="3"/>
        <v>31550.386767889104</v>
      </c>
      <c r="I48" s="167">
        <f t="shared" si="3"/>
        <v>32496.898370925774</v>
      </c>
      <c r="J48" s="167">
        <f t="shared" si="3"/>
        <v>33471.805322053551</v>
      </c>
      <c r="K48" s="167">
        <f t="shared" si="3"/>
        <v>34475.959481715159</v>
      </c>
      <c r="L48" s="167">
        <f t="shared" si="3"/>
        <v>35510.238266166612</v>
      </c>
      <c r="M48" s="167">
        <f t="shared" si="3"/>
        <v>36575.545414151617</v>
      </c>
      <c r="N48" s="168">
        <f>N65*N70/1000+N66</f>
        <v>42401.081552008218</v>
      </c>
      <c r="O48" s="169">
        <f>O65*O70/1000+O66</f>
        <v>23078.620869559745</v>
      </c>
      <c r="P48" s="179">
        <f>P65*P70/1000+P66</f>
        <v>29235.306437246134</v>
      </c>
      <c r="Q48"/>
      <c r="V48" s="138"/>
    </row>
    <row r="49" spans="1:22" x14ac:dyDescent="0.4">
      <c r="B49" s="135" t="s">
        <v>61</v>
      </c>
      <c r="C49" s="165">
        <v>0</v>
      </c>
      <c r="D49" s="166">
        <f t="shared" ref="D49:I49" si="4">((D62*$C$69/1000+D63)+(D65*$C$70/1000+D66))-(D47+D48)</f>
        <v>0</v>
      </c>
      <c r="E49" s="166">
        <f t="shared" si="4"/>
        <v>37525.001649999991</v>
      </c>
      <c r="F49" s="166">
        <f t="shared" si="4"/>
        <v>39414.8716995</v>
      </c>
      <c r="G49" s="166">
        <f t="shared" si="4"/>
        <v>40597.317850485</v>
      </c>
      <c r="H49" s="166">
        <f t="shared" si="4"/>
        <v>41815.237385999542</v>
      </c>
      <c r="I49" s="166">
        <f t="shared" si="4"/>
        <v>43069.694507579552</v>
      </c>
      <c r="J49" s="166">
        <f>((J62*$C$69/1000+(12*78)*1.03^6)+(J65*$C$70/1000+(5950*0.4+3027.67+27.22*200)*1.03^6))-(J47+J48)</f>
        <v>49003.771110270114</v>
      </c>
      <c r="K49" s="166">
        <f>((K62*$C$69/1000+(12*78)*1.03^7)+(K65*$C$70/1000+(5950*0.4+3027.67+27.22*200)*1.03^7))-(K47+K48)</f>
        <v>50473.884243578199</v>
      </c>
      <c r="L49" s="166">
        <f>((L62*$C$69/1000+(12*78)*1.03^8)+(L65*$C$70/1000+(5950*0.4+3027.67+27.22*200)*1.03^8))-(L47+L48)</f>
        <v>51988.100770885576</v>
      </c>
      <c r="M49" s="166">
        <f>((M62*$C$69/1000+(12*78)*1.03^9)+(M65*$C$70/1000+(5950*0.4+3027.67+27.22*200)*1.03^9))-(M47+M48)</f>
        <v>53547.743794012145</v>
      </c>
      <c r="N49" s="168">
        <f>((N62*$C$69/1000+(12*78)*1.03^15)+(N65*$C$70/1000+(5950*0.4+3027.67+27.22*200)*1.03^15))-(N47+N48)</f>
        <v>62611.408373316444</v>
      </c>
      <c r="O49" s="170">
        <f>((O62*$C$69/1000+(12*78)*1.03^20)+(O65*$C$70/1000+(5950*0.4+3027.67+27.22*200)*1.03^20))-(O47+O48)</f>
        <v>98832.193471368228</v>
      </c>
      <c r="P49" s="179">
        <f>((P62*$C$69/1000+(12*78)*1.03^27)+(P65*$C$70/1000+(5950*0.4+3027.67+27.22*200)*1.03^27))-(P47+P48)</f>
        <v>124412.15111427307</v>
      </c>
      <c r="Q49"/>
    </row>
    <row r="50" spans="1:22" ht="15" thickBot="1" x14ac:dyDescent="0.45">
      <c r="B50" s="136" t="s">
        <v>62</v>
      </c>
      <c r="C50" s="104">
        <f t="shared" ref="C50:O50" si="5">(C70/1000*C68+C69/1000*C67)/1000</f>
        <v>37.891824300000003</v>
      </c>
      <c r="D50" s="105">
        <f t="shared" si="5"/>
        <v>37.891824300000003</v>
      </c>
      <c r="E50" s="106">
        <f t="shared" si="5"/>
        <v>21.310627086</v>
      </c>
      <c r="F50" s="106">
        <f t="shared" si="5"/>
        <v>20.43017762142</v>
      </c>
      <c r="G50" s="106">
        <f t="shared" si="5"/>
        <v>19.5581831127774</v>
      </c>
      <c r="H50" s="106">
        <f t="shared" si="5"/>
        <v>18.694389911394079</v>
      </c>
      <c r="I50" s="106">
        <f t="shared" si="5"/>
        <v>17.838551978052255</v>
      </c>
      <c r="J50" s="106">
        <f t="shared" si="5"/>
        <v>16.990430654710689</v>
      </c>
      <c r="K50" s="106">
        <f t="shared" si="5"/>
        <v>16.149794443069364</v>
      </c>
      <c r="L50" s="106">
        <f t="shared" si="5"/>
        <v>15.634434389777285</v>
      </c>
      <c r="M50" s="106">
        <f t="shared" si="5"/>
        <v>15.126117078083967</v>
      </c>
      <c r="N50" s="124">
        <f t="shared" si="5"/>
        <v>12.682994657807191</v>
      </c>
      <c r="O50" s="125">
        <f t="shared" si="5"/>
        <v>7.1477609498067212</v>
      </c>
      <c r="P50" s="180">
        <f>(P70/1000*P68+P69/1000*P67)/1000</f>
        <v>5.6905426498636986</v>
      </c>
      <c r="Q50"/>
    </row>
    <row r="51" spans="1:22" x14ac:dyDescent="0.4">
      <c r="B51" s="49" t="s">
        <v>63</v>
      </c>
      <c r="C51" s="108"/>
      <c r="D51" s="109"/>
      <c r="E51" s="109"/>
      <c r="F51" s="109"/>
      <c r="G51" s="109"/>
      <c r="H51" s="109"/>
      <c r="I51" s="109"/>
      <c r="J51" s="109"/>
      <c r="K51" s="109"/>
      <c r="L51" s="109"/>
      <c r="M51" s="109"/>
      <c r="N51" s="109"/>
      <c r="O51" s="109"/>
      <c r="P51" s="108"/>
      <c r="Q51"/>
    </row>
    <row r="52" spans="1:22" ht="15" thickBot="1" x14ac:dyDescent="0.45">
      <c r="B52" s="49"/>
      <c r="C52" s="108"/>
      <c r="D52" s="109"/>
      <c r="E52" s="109"/>
      <c r="F52" s="109"/>
      <c r="G52" s="109"/>
      <c r="H52" s="109"/>
      <c r="I52" s="109"/>
      <c r="J52" s="109"/>
      <c r="K52" s="109"/>
      <c r="L52" s="109"/>
      <c r="M52" s="109"/>
      <c r="N52" s="109"/>
      <c r="O52" s="109"/>
      <c r="P52" s="108"/>
      <c r="Q52"/>
    </row>
    <row r="53" spans="1:22" ht="15" thickBot="1" x14ac:dyDescent="0.45">
      <c r="B53" s="49"/>
      <c r="C53" s="186" t="s">
        <v>64</v>
      </c>
      <c r="D53" s="94">
        <v>2023</v>
      </c>
      <c r="E53" s="95">
        <v>2024</v>
      </c>
      <c r="F53" s="95">
        <v>2025</v>
      </c>
      <c r="G53" s="95">
        <v>2026</v>
      </c>
      <c r="H53" s="95">
        <v>2027</v>
      </c>
      <c r="I53" s="95">
        <v>2028</v>
      </c>
      <c r="J53" s="95">
        <v>2029</v>
      </c>
      <c r="K53" s="95">
        <v>2030</v>
      </c>
      <c r="L53" s="95">
        <v>2031</v>
      </c>
      <c r="M53" s="95">
        <v>2032</v>
      </c>
      <c r="N53" s="143" t="s">
        <v>65</v>
      </c>
      <c r="O53" s="144" t="s">
        <v>66</v>
      </c>
      <c r="P53" s="152" t="s">
        <v>67</v>
      </c>
      <c r="Q53"/>
    </row>
    <row r="54" spans="1:22" ht="15" thickBot="1" x14ac:dyDescent="0.45">
      <c r="A54" s="221" t="s">
        <v>68</v>
      </c>
      <c r="B54" s="221"/>
      <c r="C54" s="222"/>
      <c r="D54" s="181">
        <v>0</v>
      </c>
      <c r="E54" s="181">
        <v>1</v>
      </c>
      <c r="F54" s="185">
        <v>2</v>
      </c>
      <c r="G54" s="181">
        <v>3</v>
      </c>
      <c r="H54" s="181">
        <v>4</v>
      </c>
      <c r="I54" s="181">
        <v>5</v>
      </c>
      <c r="J54" s="181">
        <v>6</v>
      </c>
      <c r="K54" s="181">
        <v>7</v>
      </c>
      <c r="L54" s="181">
        <v>8</v>
      </c>
      <c r="M54" s="181">
        <v>9</v>
      </c>
      <c r="N54" s="181">
        <v>14</v>
      </c>
      <c r="O54" s="181">
        <v>19</v>
      </c>
      <c r="P54" s="182">
        <v>26</v>
      </c>
      <c r="Q54"/>
    </row>
    <row r="55" spans="1:22" ht="16.3" thickBot="1" x14ac:dyDescent="0.5">
      <c r="A55" s="223" t="s">
        <v>207</v>
      </c>
      <c r="B55" s="224"/>
      <c r="C55" s="225"/>
      <c r="P55" s="6"/>
      <c r="Q55"/>
    </row>
    <row r="56" spans="1:22" ht="15" thickBot="1" x14ac:dyDescent="0.45">
      <c r="A56" s="241" t="s">
        <v>107</v>
      </c>
      <c r="B56" s="242"/>
      <c r="C56" s="243"/>
      <c r="D56" s="183">
        <f>(D47+D48)/1000+D37</f>
        <v>147.44275500000001</v>
      </c>
      <c r="E56" s="184">
        <f t="shared" ref="E56:M56" si="6">((E47+E48)/1000+E37*(1+$B$71)^E54)/((1+$B$72)^E54)+D56</f>
        <v>4019.5789484313723</v>
      </c>
      <c r="F56" s="184">
        <f t="shared" si="6"/>
        <v>4068.1525555238368</v>
      </c>
      <c r="G56" s="184">
        <f t="shared" si="6"/>
        <v>4145.1533548426978</v>
      </c>
      <c r="H56" s="184">
        <f t="shared" si="6"/>
        <v>4189.5855345470382</v>
      </c>
      <c r="I56" s="184">
        <f t="shared" si="6"/>
        <v>4242.4533238563226</v>
      </c>
      <c r="J56" s="184">
        <f t="shared" si="6"/>
        <v>4287.7609934529537</v>
      </c>
      <c r="K56" s="184">
        <f t="shared" si="6"/>
        <v>4333.5128558887673</v>
      </c>
      <c r="L56" s="184">
        <f t="shared" si="6"/>
        <v>4379.7132659955196</v>
      </c>
      <c r="M56" s="184">
        <f t="shared" si="6"/>
        <v>4438.3666212993976</v>
      </c>
      <c r="N56" s="183">
        <f>(((N47+N48)/1000)*5+N37*(1+$B$71)^N54)/((1+$B$72)^N54)+M56</f>
        <v>4721.2944613910731</v>
      </c>
      <c r="O56" s="183">
        <f>(((O47+O48)/1000)*5+O37*(1+$B$71)^O54)/((1+$B$72)^O54)+N56</f>
        <v>6400.377721004239</v>
      </c>
      <c r="P56" s="183">
        <f>(((P47+P48)/1000)*5+P37*(1+$B$71)^P54)/((1+$B$72)^P54)+O56</f>
        <v>6592.637070920061</v>
      </c>
      <c r="Q56"/>
    </row>
    <row r="57" spans="1:22" ht="15" thickBot="1" x14ac:dyDescent="0.45">
      <c r="A57" s="244" t="s">
        <v>199</v>
      </c>
      <c r="B57" s="245"/>
      <c r="C57" s="246"/>
      <c r="D57" s="202">
        <f>('PTS ilman energia-investointeja'!D43+'PTS ilman energia-investointeja'!D44)/1000+'PTS ilman energia-investointeja'!D33</f>
        <v>142.44275500000001</v>
      </c>
      <c r="E57" s="184">
        <f>(('PTS ilman energia-investointeja'!E43+'PTS ilman energia-investointeja'!E44)/1000+'PTS ilman energia-investointeja'!E33*(1+$B$71)^E54)/((1+$B$72)^E54)+D57</f>
        <v>3875.9666633333336</v>
      </c>
      <c r="F57" s="184">
        <f>(('PTS ilman energia-investointeja'!F43+'PTS ilman energia-investointeja'!F44)/1000+'PTS ilman energia-investointeja'!F33*(1+$B$71)^F54)/((1+$B$72)^F54)+E57</f>
        <v>3951.1599525442139</v>
      </c>
      <c r="G57" s="184">
        <f>(('PTS ilman energia-investointeja'!G43+'PTS ilman energia-investointeja'!G44)/1000+'PTS ilman energia-investointeja'!G33*(1+$B$71)^G54)/((1+$B$72)^G54)+F57</f>
        <v>4055.0414112571616</v>
      </c>
      <c r="H57" s="184">
        <f>(('PTS ilman energia-investointeja'!H43+'PTS ilman energia-investointeja'!H44)/1000+'PTS ilman energia-investointeja'!H33*(1+$B$71)^H54)/((1+$B$72)^H54)+G57</f>
        <v>4126.617786232001</v>
      </c>
      <c r="I57" s="184">
        <f>(('PTS ilman energia-investointeja'!I43+'PTS ilman energia-investointeja'!I44)/1000+'PTS ilman energia-investointeja'!I33*(1+$B$71)^I54)/((1+$B$72)^I54)+H57</f>
        <v>4206.895890373261</v>
      </c>
      <c r="J57" s="184">
        <f>(('PTS ilman energia-investointeja'!J43+'PTS ilman energia-investointeja'!J44)/1000+'PTS ilman energia-investointeja'!J33*(1+$B$71)^J54)/((1+$B$72)^J54)+I57</f>
        <v>4279.8826033786509</v>
      </c>
      <c r="K57" s="184">
        <f>(('PTS ilman energia-investointeja'!K43+'PTS ilman energia-investointeja'!K44)/1000+'PTS ilman energia-investointeja'!K33*(1+$B$71)^K54)/((1+$B$72)^K54)+J57</f>
        <v>4353.5848723938971</v>
      </c>
      <c r="L57" s="184">
        <f>(('PTS ilman energia-investointeja'!L43+'PTS ilman energia-investointeja'!L44)/1000+'PTS ilman energia-investointeja'!L33*(1+$B$71)^L54)/((1+$B$72)^L54)+K57</f>
        <v>4428.0097126739984</v>
      </c>
      <c r="M57" s="184">
        <f>(('PTS ilman energia-investointeja'!M43+'PTS ilman energia-investointeja'!M44)/1000+'PTS ilman energia-investointeja'!M33*(1+$B$71)^M54)/((1+$B$72)^M54)+L57</f>
        <v>4515.1642082509634</v>
      </c>
      <c r="N57" s="183">
        <f>((('PTS ilman energia-investointeja'!N43+'PTS ilman energia-investointeja'!N44)/1000)*5+'PTS ilman energia-investointeja'!N33*(1+$B$71)^N54)/((1+$B$72)^N54)+M57</f>
        <v>4937.7216447943447</v>
      </c>
      <c r="O57" s="183">
        <f>((('PTS ilman energia-investointeja'!O43+'PTS ilman energia-investointeja'!O44)/1000)*5+'PTS ilman energia-investointeja'!O33*(1+$B$71)^O54)/((1+$B$72)^O54)+N57</f>
        <v>6293.2860091070888</v>
      </c>
      <c r="P57" s="183">
        <f>((('PTS ilman energia-investointeja'!P43+'PTS ilman energia-investointeja'!P44)/1000)*5+'PTS ilman energia-investointeja'!P33*(1+$B$71)^P54)/((1+$B$72)^P54)+O57</f>
        <v>6675.6541668820291</v>
      </c>
      <c r="Q57"/>
      <c r="U57" s="110"/>
      <c r="V57" s="110"/>
    </row>
    <row r="58" spans="1:22" ht="46.2" customHeight="1" x14ac:dyDescent="0.4">
      <c r="A58" s="240" t="s">
        <v>208</v>
      </c>
      <c r="B58" s="240"/>
      <c r="C58" s="240"/>
      <c r="D58" s="172"/>
      <c r="E58" s="172"/>
      <c r="F58" s="172"/>
      <c r="G58" s="172"/>
      <c r="H58" s="172"/>
      <c r="I58" s="172"/>
      <c r="J58" s="172"/>
      <c r="K58" s="172"/>
      <c r="L58" s="172"/>
      <c r="M58" s="172"/>
      <c r="N58" s="172"/>
      <c r="O58" s="172"/>
      <c r="P58" s="172"/>
      <c r="Q58"/>
      <c r="U58" s="110"/>
      <c r="V58" s="110"/>
    </row>
    <row r="59" spans="1:22" ht="24" customHeight="1" thickBot="1" x14ac:dyDescent="0.45">
      <c r="D59" s="199"/>
      <c r="E59" s="200"/>
      <c r="F59" s="201"/>
      <c r="G59" s="201"/>
      <c r="H59" s="199"/>
      <c r="I59" s="199"/>
      <c r="J59" s="199"/>
      <c r="K59" s="199"/>
      <c r="L59" s="199"/>
      <c r="M59" s="199"/>
      <c r="N59" s="199"/>
      <c r="O59" s="199"/>
      <c r="P59" s="199"/>
      <c r="Q59"/>
    </row>
    <row r="60" spans="1:22" ht="15" thickTop="1" x14ac:dyDescent="0.4">
      <c r="A60" s="43"/>
      <c r="B60" s="43"/>
      <c r="C60" s="44"/>
      <c r="D60" s="45"/>
      <c r="E60" s="45"/>
      <c r="F60" s="45"/>
      <c r="G60" s="45"/>
      <c r="H60" s="45"/>
      <c r="I60" s="45"/>
      <c r="J60" s="45"/>
      <c r="K60" s="45"/>
      <c r="L60" s="45"/>
      <c r="M60" s="45"/>
      <c r="N60" s="45"/>
      <c r="O60" s="45"/>
      <c r="P60" s="46"/>
      <c r="Q60" s="43"/>
      <c r="R60" s="43"/>
    </row>
    <row r="61" spans="1:22" x14ac:dyDescent="0.4">
      <c r="A61" s="1" t="s">
        <v>69</v>
      </c>
      <c r="C61" s="89" t="s">
        <v>54</v>
      </c>
      <c r="D61" s="90">
        <v>2023</v>
      </c>
      <c r="E61" s="90">
        <v>2024</v>
      </c>
      <c r="F61" s="90">
        <v>2025</v>
      </c>
      <c r="G61" s="90">
        <v>2026</v>
      </c>
      <c r="H61" s="90">
        <v>2027</v>
      </c>
      <c r="I61" s="90">
        <v>2028</v>
      </c>
      <c r="J61" s="90">
        <v>2029</v>
      </c>
      <c r="K61" s="90">
        <v>2030</v>
      </c>
      <c r="L61" s="90">
        <v>2031</v>
      </c>
      <c r="M61" s="90">
        <v>2032</v>
      </c>
      <c r="N61" s="90" t="s">
        <v>70</v>
      </c>
      <c r="O61" s="90" t="s">
        <v>71</v>
      </c>
      <c r="P61" s="91" t="s">
        <v>72</v>
      </c>
      <c r="Q61"/>
    </row>
    <row r="62" spans="1:22" x14ac:dyDescent="0.4">
      <c r="A62" t="s">
        <v>73</v>
      </c>
      <c r="B62" s="1"/>
      <c r="C62" s="171">
        <v>300</v>
      </c>
      <c r="D62" s="172">
        <v>300</v>
      </c>
      <c r="E62" s="172">
        <v>200</v>
      </c>
      <c r="F62" s="172">
        <v>150</v>
      </c>
      <c r="G62" s="172">
        <f t="shared" ref="G62:M62" si="7">F62*1.03</f>
        <v>154.5</v>
      </c>
      <c r="H62" s="172">
        <f t="shared" si="7"/>
        <v>159.13499999999999</v>
      </c>
      <c r="I62" s="172">
        <f t="shared" si="7"/>
        <v>163.90905000000001</v>
      </c>
      <c r="J62" s="172">
        <f t="shared" si="7"/>
        <v>168.82632150000001</v>
      </c>
      <c r="K62" s="172">
        <f t="shared" si="7"/>
        <v>173.891111145</v>
      </c>
      <c r="L62" s="172">
        <f t="shared" si="7"/>
        <v>179.10784447935001</v>
      </c>
      <c r="M62" s="172">
        <f t="shared" si="7"/>
        <v>184.4810798137305</v>
      </c>
      <c r="N62" s="172">
        <f>M62*1.03^5</f>
        <v>213.86413302692682</v>
      </c>
      <c r="O62" s="172">
        <f>N62*1.03^5</f>
        <v>247.92714484076262</v>
      </c>
      <c r="P62" s="171">
        <f>O62*1.03^8</f>
        <v>314.06668944813214</v>
      </c>
      <c r="Q62"/>
    </row>
    <row r="63" spans="1:22" x14ac:dyDescent="0.4">
      <c r="A63" t="s">
        <v>74</v>
      </c>
      <c r="B63" s="1"/>
      <c r="C63" s="171">
        <f>12*78</f>
        <v>936</v>
      </c>
      <c r="D63" s="172">
        <f>12*78</f>
        <v>936</v>
      </c>
      <c r="E63" s="173">
        <f>122.9*12*1.03</f>
        <v>1519.0440000000003</v>
      </c>
      <c r="F63" s="172">
        <f t="shared" ref="F63:M63" si="8">E63*1.03</f>
        <v>1564.6153200000003</v>
      </c>
      <c r="G63" s="172">
        <f t="shared" si="8"/>
        <v>1611.5537796000003</v>
      </c>
      <c r="H63" s="172">
        <f t="shared" si="8"/>
        <v>1659.9003929880005</v>
      </c>
      <c r="I63" s="172">
        <f t="shared" si="8"/>
        <v>1709.6974047776405</v>
      </c>
      <c r="J63" s="172">
        <f t="shared" si="8"/>
        <v>1760.9883269209697</v>
      </c>
      <c r="K63" s="172">
        <f t="shared" si="8"/>
        <v>1813.8179767285988</v>
      </c>
      <c r="L63" s="172">
        <f t="shared" si="8"/>
        <v>1868.2325160304567</v>
      </c>
      <c r="M63" s="172">
        <f t="shared" si="8"/>
        <v>1924.2794915113705</v>
      </c>
      <c r="N63" s="172">
        <f>M63*1.03^5</f>
        <v>2230.7673262163185</v>
      </c>
      <c r="O63" s="172">
        <f>N63*1.03^5</f>
        <v>2586.0707270781086</v>
      </c>
      <c r="P63" s="171">
        <f>O63*1.03^8</f>
        <v>3275.9570254148666</v>
      </c>
      <c r="Q63"/>
    </row>
    <row r="64" spans="1:22" x14ac:dyDescent="0.4">
      <c r="A64" t="s">
        <v>75</v>
      </c>
      <c r="B64" s="1"/>
      <c r="C64" s="171"/>
      <c r="D64" s="172"/>
      <c r="E64" s="172"/>
      <c r="F64" s="172"/>
      <c r="G64" s="172"/>
      <c r="H64" s="172"/>
      <c r="I64" s="172"/>
      <c r="J64" s="172"/>
      <c r="K64" s="172"/>
      <c r="L64" s="172"/>
      <c r="M64" s="172"/>
      <c r="N64" s="172">
        <f t="shared" ref="N64:N65" si="9">M64*1.03^5</f>
        <v>0</v>
      </c>
      <c r="O64" s="172"/>
      <c r="P64" s="174"/>
      <c r="Q64"/>
    </row>
    <row r="65" spans="1:17" x14ac:dyDescent="0.4">
      <c r="A65" t="s">
        <v>76</v>
      </c>
      <c r="B65" s="1"/>
      <c r="C65" s="171">
        <v>85</v>
      </c>
      <c r="D65" s="172">
        <v>85</v>
      </c>
      <c r="E65" s="172">
        <f t="shared" ref="E65:M65" si="10">D65*1.03</f>
        <v>87.55</v>
      </c>
      <c r="F65" s="172">
        <f t="shared" si="10"/>
        <v>90.176500000000004</v>
      </c>
      <c r="G65" s="172">
        <f t="shared" si="10"/>
        <v>92.881795000000011</v>
      </c>
      <c r="H65" s="172">
        <f t="shared" si="10"/>
        <v>95.668248850000012</v>
      </c>
      <c r="I65" s="172">
        <f t="shared" si="10"/>
        <v>98.53829631550002</v>
      </c>
      <c r="J65" s="172">
        <f t="shared" si="10"/>
        <v>101.49444520496502</v>
      </c>
      <c r="K65" s="172">
        <f t="shared" si="10"/>
        <v>104.53927856111397</v>
      </c>
      <c r="L65" s="172">
        <f t="shared" si="10"/>
        <v>107.6754569179474</v>
      </c>
      <c r="M65" s="172">
        <f t="shared" si="10"/>
        <v>110.90572062548583</v>
      </c>
      <c r="N65" s="172">
        <f t="shared" si="9"/>
        <v>128.57012661268448</v>
      </c>
      <c r="O65" s="172">
        <f>N65*1.03^5</f>
        <v>149.04801451155356</v>
      </c>
      <c r="P65" s="174">
        <f>O65*1.03^8</f>
        <v>188.80956547346327</v>
      </c>
      <c r="Q65"/>
    </row>
    <row r="66" spans="1:17" x14ac:dyDescent="0.4">
      <c r="A66" t="s">
        <v>77</v>
      </c>
      <c r="B66" s="1" t="s">
        <v>78</v>
      </c>
      <c r="C66" s="171">
        <f>5950*0.4+3027.67+27.22*200</f>
        <v>10851.67</v>
      </c>
      <c r="D66" s="172">
        <f>5950*0.4+3027.67+27.22*200</f>
        <v>10851.67</v>
      </c>
      <c r="E66" s="173">
        <f>(100*47.27-27.22+0.29*5950)*1.03</f>
        <v>6618.0383999999995</v>
      </c>
      <c r="F66" s="172">
        <f t="shared" ref="F66:M66" si="11">E66*1.03</f>
        <v>6816.5795519999992</v>
      </c>
      <c r="G66" s="172">
        <f t="shared" si="11"/>
        <v>7021.0769385599997</v>
      </c>
      <c r="H66" s="172">
        <f t="shared" si="11"/>
        <v>7231.7092467167995</v>
      </c>
      <c r="I66" s="172">
        <f t="shared" si="11"/>
        <v>7448.6605241183033</v>
      </c>
      <c r="J66" s="172">
        <f t="shared" si="11"/>
        <v>7672.1203398418529</v>
      </c>
      <c r="K66" s="172">
        <f t="shared" si="11"/>
        <v>7902.2839500371083</v>
      </c>
      <c r="L66" s="172">
        <f t="shared" si="11"/>
        <v>8139.3524685382217</v>
      </c>
      <c r="M66" s="172">
        <f t="shared" si="11"/>
        <v>8383.5330425943685</v>
      </c>
      <c r="N66" s="172">
        <f>M66*1.03^5</f>
        <v>9718.8125073170468</v>
      </c>
      <c r="O66" s="173">
        <f>(80*47.27-27.22+0.29*5950)*1.03^19</f>
        <v>9609.0027501361401</v>
      </c>
      <c r="P66" s="174">
        <f>O66*1.03^8</f>
        <v>12172.397195843783</v>
      </c>
      <c r="Q66"/>
    </row>
    <row r="67" spans="1:17" x14ac:dyDescent="0.4">
      <c r="A67" t="s">
        <v>79</v>
      </c>
      <c r="B67" s="1" t="s">
        <v>209</v>
      </c>
      <c r="C67" s="203">
        <v>133.80000000000001</v>
      </c>
      <c r="D67" s="109">
        <v>133.80000000000001</v>
      </c>
      <c r="E67" s="109">
        <v>127.4</v>
      </c>
      <c r="F67" s="109">
        <v>121</v>
      </c>
      <c r="G67" s="109">
        <v>114.6</v>
      </c>
      <c r="H67" s="109">
        <v>108.19999999999999</v>
      </c>
      <c r="I67" s="109">
        <v>101.8</v>
      </c>
      <c r="J67" s="109">
        <v>95.4</v>
      </c>
      <c r="K67" s="109">
        <v>89</v>
      </c>
      <c r="L67" s="109">
        <v>86</v>
      </c>
      <c r="M67" s="109">
        <v>83</v>
      </c>
      <c r="N67" s="109">
        <v>68</v>
      </c>
      <c r="O67" s="109">
        <v>56.2</v>
      </c>
      <c r="P67" s="108">
        <v>45</v>
      </c>
      <c r="Q67"/>
    </row>
    <row r="68" spans="1:17" x14ac:dyDescent="0.4">
      <c r="A68" t="s">
        <v>80</v>
      </c>
      <c r="B68" s="1" t="s">
        <v>210</v>
      </c>
      <c r="C68" s="171">
        <v>38.1</v>
      </c>
      <c r="D68" s="172">
        <f>C68</f>
        <v>38.1</v>
      </c>
      <c r="E68" s="172">
        <f t="shared" ref="E68:M68" si="12">D68*0.97</f>
        <v>36.957000000000001</v>
      </c>
      <c r="F68" s="172">
        <f t="shared" si="12"/>
        <v>35.848289999999999</v>
      </c>
      <c r="G68" s="172">
        <f t="shared" si="12"/>
        <v>34.772841299999996</v>
      </c>
      <c r="H68" s="172">
        <f t="shared" si="12"/>
        <v>33.729656060999993</v>
      </c>
      <c r="I68" s="172">
        <f t="shared" si="12"/>
        <v>32.717766379169994</v>
      </c>
      <c r="J68" s="172">
        <f t="shared" si="12"/>
        <v>31.736233387794893</v>
      </c>
      <c r="K68" s="172">
        <f t="shared" si="12"/>
        <v>30.784146386161044</v>
      </c>
      <c r="L68" s="172">
        <f t="shared" si="12"/>
        <v>29.860621994576213</v>
      </c>
      <c r="M68" s="172">
        <f t="shared" si="12"/>
        <v>28.964803334738928</v>
      </c>
      <c r="N68" s="172">
        <f>M68*0.97^5</f>
        <v>24.873062171249142</v>
      </c>
      <c r="O68" s="172">
        <f>N68*0.97^5</f>
        <v>21.359344809803154</v>
      </c>
      <c r="P68" s="171">
        <f>O68*0.97^8</f>
        <v>16.74024465662324</v>
      </c>
      <c r="Q68"/>
    </row>
    <row r="69" spans="1:17" x14ac:dyDescent="0.4">
      <c r="A69" t="s">
        <v>81</v>
      </c>
      <c r="C69" s="171">
        <v>79889</v>
      </c>
      <c r="D69" s="172">
        <v>79889</v>
      </c>
      <c r="E69" s="172">
        <v>93534</v>
      </c>
      <c r="F69" s="172">
        <v>93534</v>
      </c>
      <c r="G69" s="172">
        <v>93534</v>
      </c>
      <c r="H69" s="172">
        <v>93534</v>
      </c>
      <c r="I69" s="172">
        <v>93534</v>
      </c>
      <c r="J69" s="172">
        <v>93534</v>
      </c>
      <c r="K69" s="172">
        <v>93534</v>
      </c>
      <c r="L69" s="172">
        <v>93534</v>
      </c>
      <c r="M69" s="172">
        <v>93534</v>
      </c>
      <c r="N69" s="172">
        <v>93534</v>
      </c>
      <c r="O69" s="172">
        <v>92838</v>
      </c>
      <c r="P69" s="171">
        <v>92838</v>
      </c>
      <c r="Q69"/>
    </row>
    <row r="70" spans="1:17" x14ac:dyDescent="0.4">
      <c r="A70" t="s">
        <v>82</v>
      </c>
      <c r="C70" s="171">
        <v>713981</v>
      </c>
      <c r="D70" s="172">
        <v>713981</v>
      </c>
      <c r="E70" s="172">
        <v>254198</v>
      </c>
      <c r="F70" s="172">
        <v>254198</v>
      </c>
      <c r="G70" s="172">
        <v>254198</v>
      </c>
      <c r="H70" s="172">
        <v>254198</v>
      </c>
      <c r="I70" s="172">
        <v>254198</v>
      </c>
      <c r="J70" s="172">
        <v>254198</v>
      </c>
      <c r="K70" s="172">
        <v>254198</v>
      </c>
      <c r="L70" s="172">
        <v>254198</v>
      </c>
      <c r="M70" s="172">
        <v>254198</v>
      </c>
      <c r="N70" s="172">
        <v>254198</v>
      </c>
      <c r="O70" s="172">
        <v>90371</v>
      </c>
      <c r="P70" s="171">
        <v>90371</v>
      </c>
      <c r="Q70"/>
    </row>
    <row r="71" spans="1:17" x14ac:dyDescent="0.4">
      <c r="A71" t="s">
        <v>83</v>
      </c>
      <c r="B71" s="176">
        <v>0.02</v>
      </c>
      <c r="E71" s="87" t="s">
        <v>89</v>
      </c>
    </row>
    <row r="72" spans="1:17" x14ac:dyDescent="0.4">
      <c r="A72" t="s">
        <v>84</v>
      </c>
      <c r="B72" s="176">
        <v>0.02</v>
      </c>
    </row>
    <row r="73" spans="1:17" x14ac:dyDescent="0.4">
      <c r="A73" t="s">
        <v>85</v>
      </c>
      <c r="B73" s="176">
        <v>0.03</v>
      </c>
    </row>
    <row r="74" spans="1:17" x14ac:dyDescent="0.4">
      <c r="A74" t="s">
        <v>86</v>
      </c>
      <c r="B74" s="176">
        <v>0.03</v>
      </c>
    </row>
    <row r="75" spans="1:17" x14ac:dyDescent="0.4">
      <c r="A75" s="49" t="s">
        <v>87</v>
      </c>
      <c r="B75" s="175"/>
    </row>
    <row r="76" spans="1:17" x14ac:dyDescent="0.4">
      <c r="A76" s="49" t="s">
        <v>88</v>
      </c>
      <c r="B76" s="49"/>
    </row>
    <row r="77" spans="1:17" ht="15" thickBot="1" x14ac:dyDescent="0.45">
      <c r="A77" s="49" t="s">
        <v>90</v>
      </c>
      <c r="B77" s="49"/>
    </row>
    <row r="78" spans="1:17" s="43" customFormat="1" ht="15" thickTop="1" x14ac:dyDescent="0.4">
      <c r="Q78" s="47"/>
    </row>
    <row r="81" spans="9:9" x14ac:dyDescent="0.4">
      <c r="I81" s="3"/>
    </row>
    <row r="85" spans="9:9" x14ac:dyDescent="0.4">
      <c r="I85" s="3"/>
    </row>
    <row r="86" spans="9:9" x14ac:dyDescent="0.4">
      <c r="I86" s="3"/>
    </row>
  </sheetData>
  <mergeCells count="38">
    <mergeCell ref="A58:C58"/>
    <mergeCell ref="A56:C56"/>
    <mergeCell ref="A57:C57"/>
    <mergeCell ref="B35:C35"/>
    <mergeCell ref="B23:C23"/>
    <mergeCell ref="B24:C24"/>
    <mergeCell ref="B25:C25"/>
    <mergeCell ref="B27:C27"/>
    <mergeCell ref="B28:C28"/>
    <mergeCell ref="B29:C29"/>
    <mergeCell ref="B30:C30"/>
    <mergeCell ref="B31:C31"/>
    <mergeCell ref="B32:C32"/>
    <mergeCell ref="B33:C33"/>
    <mergeCell ref="B34:C34"/>
    <mergeCell ref="B26:C26"/>
    <mergeCell ref="A54:C54"/>
    <mergeCell ref="A55:C55"/>
    <mergeCell ref="B21:C21"/>
    <mergeCell ref="B10:C10"/>
    <mergeCell ref="B11:C11"/>
    <mergeCell ref="B12:C12"/>
    <mergeCell ref="B13:C13"/>
    <mergeCell ref="B14:C14"/>
    <mergeCell ref="B15:C15"/>
    <mergeCell ref="B16:C16"/>
    <mergeCell ref="B17:C17"/>
    <mergeCell ref="B18:C18"/>
    <mergeCell ref="B19:C19"/>
    <mergeCell ref="B20:C20"/>
    <mergeCell ref="B22:C22"/>
    <mergeCell ref="B36:C36"/>
    <mergeCell ref="D4:Q4"/>
    <mergeCell ref="B9:C9"/>
    <mergeCell ref="B6:C6"/>
    <mergeCell ref="B7:C7"/>
    <mergeCell ref="B8:C8"/>
    <mergeCell ref="D5:P5"/>
  </mergeCell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639BE-8660-4BC6-B699-8646AB8AE5A6}">
  <sheetPr>
    <pageSetUpPr fitToPage="1"/>
  </sheetPr>
  <dimension ref="A1:W76"/>
  <sheetViews>
    <sheetView showGridLines="0" zoomScale="63" workbookViewId="0">
      <selection activeCell="B3" sqref="B3"/>
    </sheetView>
  </sheetViews>
  <sheetFormatPr defaultColWidth="8.84375" defaultRowHeight="14.6" x14ac:dyDescent="0.4"/>
  <cols>
    <col min="1" max="1" width="40.84375" customWidth="1"/>
    <col min="2" max="2" width="70" customWidth="1"/>
    <col min="3" max="3" width="14.69140625" customWidth="1"/>
    <col min="10" max="10" width="9.07421875" customWidth="1"/>
    <col min="14" max="14" width="10.69140625" customWidth="1"/>
    <col min="15" max="16" width="18.3046875" customWidth="1"/>
    <col min="17" max="17" width="18.3046875" style="6" customWidth="1"/>
    <col min="19" max="19" width="10" bestFit="1" customWidth="1"/>
  </cols>
  <sheetData>
    <row r="1" spans="1:17" x14ac:dyDescent="0.4">
      <c r="A1" s="1" t="s">
        <v>0</v>
      </c>
    </row>
    <row r="2" spans="1:17" x14ac:dyDescent="0.4">
      <c r="A2" s="1"/>
      <c r="D2" s="1"/>
      <c r="E2" s="1"/>
      <c r="F2" s="1"/>
      <c r="G2" s="1"/>
      <c r="H2" s="1"/>
      <c r="I2" s="1"/>
      <c r="J2" s="1"/>
      <c r="K2" s="1"/>
      <c r="L2" s="1"/>
      <c r="M2" s="1"/>
      <c r="N2" s="1"/>
    </row>
    <row r="3" spans="1:17" ht="15" thickBot="1" x14ac:dyDescent="0.45">
      <c r="A3" s="1"/>
      <c r="D3" s="253" t="s">
        <v>215</v>
      </c>
      <c r="E3" s="253"/>
      <c r="F3" s="253"/>
      <c r="G3" s="253"/>
      <c r="H3" s="253"/>
      <c r="I3" s="253"/>
      <c r="J3" s="253"/>
      <c r="K3" s="253"/>
      <c r="L3" s="253"/>
      <c r="M3" s="253"/>
      <c r="N3" s="253"/>
    </row>
    <row r="4" spans="1:17" ht="15" thickBot="1" x14ac:dyDescent="0.45">
      <c r="A4" s="11"/>
      <c r="B4" s="12"/>
      <c r="C4" s="12"/>
      <c r="D4" s="218" t="s">
        <v>1</v>
      </c>
      <c r="E4" s="219"/>
      <c r="F4" s="219"/>
      <c r="G4" s="219"/>
      <c r="H4" s="219"/>
      <c r="I4" s="219"/>
      <c r="J4" s="219"/>
      <c r="K4" s="219"/>
      <c r="L4" s="219"/>
      <c r="M4" s="219"/>
      <c r="N4" s="219"/>
      <c r="O4" s="219"/>
      <c r="P4" s="220"/>
    </row>
    <row r="5" spans="1:17" ht="15" thickBot="1" x14ac:dyDescent="0.45">
      <c r="A5" s="13" t="s">
        <v>2</v>
      </c>
      <c r="B5" s="208" t="s">
        <v>91</v>
      </c>
      <c r="C5" s="213"/>
      <c r="D5" s="194">
        <v>2023</v>
      </c>
      <c r="E5" s="195">
        <v>2024</v>
      </c>
      <c r="F5" s="195">
        <v>2025</v>
      </c>
      <c r="G5" s="195">
        <v>2026</v>
      </c>
      <c r="H5" s="195">
        <v>2027</v>
      </c>
      <c r="I5" s="195">
        <v>2028</v>
      </c>
      <c r="J5" s="195">
        <v>2029</v>
      </c>
      <c r="K5" s="195">
        <v>2030</v>
      </c>
      <c r="L5" s="195">
        <v>2031</v>
      </c>
      <c r="M5" s="195">
        <v>2032</v>
      </c>
      <c r="N5" s="194" t="s">
        <v>4</v>
      </c>
      <c r="O5" s="196" t="s">
        <v>5</v>
      </c>
      <c r="P5" s="197" t="s">
        <v>92</v>
      </c>
      <c r="Q5"/>
    </row>
    <row r="6" spans="1:17" ht="15" thickBot="1" x14ac:dyDescent="0.45">
      <c r="A6" s="48" t="s">
        <v>7</v>
      </c>
      <c r="B6" s="214"/>
      <c r="C6" s="215"/>
      <c r="D6" s="27"/>
      <c r="E6" s="28"/>
      <c r="F6" s="28"/>
      <c r="G6" s="28"/>
      <c r="H6" s="28"/>
      <c r="I6" s="28"/>
      <c r="J6" s="28"/>
      <c r="K6" s="28"/>
      <c r="L6" s="28"/>
      <c r="M6" s="28"/>
      <c r="N6" s="27"/>
      <c r="O6" s="31"/>
      <c r="P6" s="34"/>
      <c r="Q6"/>
    </row>
    <row r="7" spans="1:17" s="3" customFormat="1" x14ac:dyDescent="0.4">
      <c r="A7" s="35" t="s">
        <v>8</v>
      </c>
      <c r="B7" s="216" t="s">
        <v>9</v>
      </c>
      <c r="C7" s="217"/>
      <c r="D7" s="50"/>
      <c r="E7" s="51"/>
      <c r="F7" s="51"/>
      <c r="G7" s="52">
        <v>12</v>
      </c>
      <c r="H7" s="52"/>
      <c r="I7" s="51"/>
      <c r="J7" s="51"/>
      <c r="K7" s="51"/>
      <c r="L7" s="51"/>
      <c r="M7" s="51"/>
      <c r="N7" s="50"/>
      <c r="O7" s="53"/>
      <c r="P7" s="54"/>
    </row>
    <row r="8" spans="1:17" s="3" customFormat="1" x14ac:dyDescent="0.4">
      <c r="A8" s="20" t="s">
        <v>10</v>
      </c>
      <c r="B8" s="211" t="s">
        <v>11</v>
      </c>
      <c r="C8" s="212"/>
      <c r="D8" s="55"/>
      <c r="E8" s="56"/>
      <c r="F8" s="56"/>
      <c r="G8" s="57">
        <v>3</v>
      </c>
      <c r="H8" s="57"/>
      <c r="I8" s="56"/>
      <c r="J8" s="56"/>
      <c r="K8" s="56"/>
      <c r="L8" s="56"/>
      <c r="M8" s="56"/>
      <c r="N8" s="55"/>
      <c r="O8" s="58"/>
      <c r="P8" s="59"/>
    </row>
    <row r="9" spans="1:17" s="3" customFormat="1" x14ac:dyDescent="0.4">
      <c r="A9" s="20" t="s">
        <v>12</v>
      </c>
      <c r="B9" s="211" t="s">
        <v>13</v>
      </c>
      <c r="C9" s="212"/>
      <c r="D9" s="55"/>
      <c r="E9" s="56"/>
      <c r="F9" s="56"/>
      <c r="G9" s="57">
        <v>10</v>
      </c>
      <c r="H9" s="56"/>
      <c r="I9" s="60"/>
      <c r="J9" s="56"/>
      <c r="K9" s="56"/>
      <c r="L9" s="56"/>
      <c r="M9" s="56"/>
      <c r="N9" s="55"/>
      <c r="O9" s="58"/>
      <c r="P9" s="59"/>
    </row>
    <row r="10" spans="1:17" s="3" customFormat="1" x14ac:dyDescent="0.4">
      <c r="A10" s="20" t="s">
        <v>14</v>
      </c>
      <c r="B10" s="211" t="s">
        <v>15</v>
      </c>
      <c r="C10" s="212"/>
      <c r="D10" s="55"/>
      <c r="E10" s="56"/>
      <c r="F10" s="56"/>
      <c r="G10" s="56"/>
      <c r="H10" s="56"/>
      <c r="I10" s="60"/>
      <c r="J10" s="56"/>
      <c r="K10" s="56"/>
      <c r="L10" s="56"/>
      <c r="M10" s="56"/>
      <c r="N10" s="61">
        <v>20</v>
      </c>
      <c r="O10" s="58"/>
      <c r="P10" s="59"/>
    </row>
    <row r="11" spans="1:17" s="3" customFormat="1" x14ac:dyDescent="0.4">
      <c r="A11" s="20" t="s">
        <v>14</v>
      </c>
      <c r="B11" s="211" t="s">
        <v>93</v>
      </c>
      <c r="C11" s="212"/>
      <c r="D11" s="55"/>
      <c r="E11" s="56"/>
      <c r="F11" s="56"/>
      <c r="G11" s="56"/>
      <c r="H11" s="56"/>
      <c r="I11" s="56"/>
      <c r="J11" s="56"/>
      <c r="K11" s="56"/>
      <c r="L11" s="56"/>
      <c r="M11" s="56"/>
      <c r="N11" s="55"/>
      <c r="O11" s="151">
        <v>1000</v>
      </c>
      <c r="P11" s="59"/>
    </row>
    <row r="12" spans="1:17" s="3" customFormat="1" x14ac:dyDescent="0.4">
      <c r="A12" s="20" t="s">
        <v>19</v>
      </c>
      <c r="B12" s="211" t="s">
        <v>20</v>
      </c>
      <c r="C12" s="212"/>
      <c r="D12" s="55"/>
      <c r="E12" s="56"/>
      <c r="F12" s="56"/>
      <c r="G12" s="57">
        <v>8</v>
      </c>
      <c r="H12" s="57"/>
      <c r="I12" s="56"/>
      <c r="J12" s="56"/>
      <c r="K12" s="56"/>
      <c r="L12" s="56"/>
      <c r="M12" s="56"/>
      <c r="N12" s="55"/>
      <c r="O12" s="58"/>
      <c r="P12" s="59"/>
    </row>
    <row r="13" spans="1:17" s="3" customFormat="1" ht="30" customHeight="1" x14ac:dyDescent="0.4">
      <c r="A13" s="20" t="s">
        <v>19</v>
      </c>
      <c r="B13" s="226" t="s">
        <v>94</v>
      </c>
      <c r="C13" s="229"/>
      <c r="D13" s="55"/>
      <c r="E13" s="56"/>
      <c r="F13" s="56"/>
      <c r="G13" s="56"/>
      <c r="H13" s="56"/>
      <c r="I13" s="56"/>
      <c r="J13" s="56"/>
      <c r="K13" s="56"/>
      <c r="L13" s="56"/>
      <c r="M13" s="56"/>
      <c r="N13" s="55"/>
      <c r="O13" s="151">
        <v>0</v>
      </c>
      <c r="P13" s="59"/>
    </row>
    <row r="14" spans="1:17" s="3" customFormat="1" x14ac:dyDescent="0.4">
      <c r="A14" s="20" t="s">
        <v>21</v>
      </c>
      <c r="B14" s="211" t="s">
        <v>95</v>
      </c>
      <c r="C14" s="212"/>
      <c r="D14" s="55"/>
      <c r="E14" s="57">
        <v>65</v>
      </c>
      <c r="F14" s="57"/>
      <c r="G14" s="57"/>
      <c r="H14" s="56"/>
      <c r="I14" s="56"/>
      <c r="J14" s="56"/>
      <c r="K14" s="56"/>
      <c r="L14" s="56"/>
      <c r="M14" s="56"/>
      <c r="N14" s="55"/>
      <c r="O14" s="58"/>
      <c r="P14" s="59"/>
    </row>
    <row r="15" spans="1:17" s="3" customFormat="1" ht="27" customHeight="1" thickBot="1" x14ac:dyDescent="0.45">
      <c r="A15" s="62" t="s">
        <v>23</v>
      </c>
      <c r="B15" s="230" t="s">
        <v>24</v>
      </c>
      <c r="C15" s="231"/>
      <c r="D15" s="63"/>
      <c r="E15" s="64"/>
      <c r="F15" s="65">
        <v>5</v>
      </c>
      <c r="G15" s="65"/>
      <c r="H15" s="64"/>
      <c r="I15" s="64"/>
      <c r="J15" s="64"/>
      <c r="K15" s="64"/>
      <c r="L15" s="64"/>
      <c r="M15" s="64"/>
      <c r="N15" s="63"/>
      <c r="O15" s="66"/>
      <c r="P15" s="67"/>
    </row>
    <row r="16" spans="1:17" s="3" customFormat="1" ht="15" customHeight="1" thickBot="1" x14ac:dyDescent="0.45">
      <c r="A16" s="68" t="s">
        <v>25</v>
      </c>
      <c r="B16" s="232"/>
      <c r="C16" s="233"/>
      <c r="D16" s="69"/>
      <c r="E16" s="70"/>
      <c r="F16" s="70"/>
      <c r="G16" s="70"/>
      <c r="H16" s="70"/>
      <c r="I16" s="70"/>
      <c r="J16" s="70"/>
      <c r="K16" s="70"/>
      <c r="L16" s="70"/>
      <c r="M16" s="70"/>
      <c r="N16" s="69"/>
      <c r="O16" s="71"/>
      <c r="P16" s="72"/>
    </row>
    <row r="17" spans="1:17" s="3" customFormat="1" x14ac:dyDescent="0.4">
      <c r="A17" s="35" t="s">
        <v>26</v>
      </c>
      <c r="B17" s="234" t="s">
        <v>27</v>
      </c>
      <c r="C17" s="235"/>
      <c r="D17" s="74">
        <v>5</v>
      </c>
      <c r="E17" s="51"/>
      <c r="F17" s="51"/>
      <c r="G17" s="51"/>
      <c r="H17" s="51"/>
      <c r="I17" s="51"/>
      <c r="J17" s="51"/>
      <c r="K17" s="51"/>
      <c r="L17" s="51"/>
      <c r="M17" s="51"/>
      <c r="N17" s="50"/>
      <c r="O17" s="53"/>
      <c r="P17" s="54"/>
    </row>
    <row r="18" spans="1:17" s="3" customFormat="1" x14ac:dyDescent="0.4">
      <c r="A18" s="20" t="s">
        <v>26</v>
      </c>
      <c r="B18" s="226" t="s">
        <v>96</v>
      </c>
      <c r="C18" s="229"/>
      <c r="D18" s="55"/>
      <c r="E18" s="57">
        <v>35</v>
      </c>
      <c r="F18" s="57"/>
      <c r="G18" s="57"/>
      <c r="H18" s="56"/>
      <c r="I18" s="56"/>
      <c r="J18" s="56"/>
      <c r="K18" s="56"/>
      <c r="L18" s="56"/>
      <c r="M18" s="56"/>
      <c r="N18" s="55"/>
      <c r="O18" s="58"/>
      <c r="P18" s="59"/>
    </row>
    <row r="19" spans="1:17" s="3" customFormat="1" ht="29.7" customHeight="1" x14ac:dyDescent="0.4">
      <c r="A19" s="20" t="s">
        <v>26</v>
      </c>
      <c r="B19" s="226" t="s">
        <v>29</v>
      </c>
      <c r="C19" s="227"/>
      <c r="D19" s="55"/>
      <c r="E19" s="57">
        <v>30</v>
      </c>
      <c r="F19" s="57"/>
      <c r="G19" s="57"/>
      <c r="H19" s="56"/>
      <c r="I19" s="56"/>
      <c r="J19" s="56"/>
      <c r="K19" s="56"/>
      <c r="L19" s="56"/>
      <c r="M19" s="56"/>
      <c r="N19" s="55"/>
      <c r="O19" s="58"/>
      <c r="P19" s="59"/>
    </row>
    <row r="20" spans="1:17" s="3" customFormat="1" ht="28.4" customHeight="1" x14ac:dyDescent="0.4">
      <c r="A20" s="20" t="s">
        <v>26</v>
      </c>
      <c r="B20" s="236" t="s">
        <v>30</v>
      </c>
      <c r="C20" s="237"/>
      <c r="D20" s="55"/>
      <c r="E20" s="57">
        <v>0</v>
      </c>
      <c r="F20" s="57"/>
      <c r="G20" s="57"/>
      <c r="H20" s="56"/>
      <c r="I20" s="56"/>
      <c r="J20" s="56"/>
      <c r="K20" s="56"/>
      <c r="L20" s="56"/>
      <c r="M20" s="56"/>
      <c r="N20" s="55"/>
      <c r="O20" s="58"/>
      <c r="P20" s="59"/>
    </row>
    <row r="21" spans="1:17" s="3" customFormat="1" x14ac:dyDescent="0.4">
      <c r="A21" s="20" t="s">
        <v>31</v>
      </c>
      <c r="B21" s="211" t="s">
        <v>32</v>
      </c>
      <c r="C21" s="212"/>
      <c r="D21" s="61">
        <v>40</v>
      </c>
      <c r="E21" s="57"/>
      <c r="F21" s="56"/>
      <c r="G21" s="56"/>
      <c r="H21" s="56"/>
      <c r="I21" s="56"/>
      <c r="J21" s="56"/>
      <c r="K21" s="56"/>
      <c r="L21" s="56"/>
      <c r="M21" s="56"/>
      <c r="N21" s="55"/>
      <c r="O21" s="58"/>
      <c r="P21" s="59"/>
    </row>
    <row r="22" spans="1:17" s="3" customFormat="1" x14ac:dyDescent="0.4">
      <c r="A22" s="20" t="s">
        <v>31</v>
      </c>
      <c r="B22" s="228" t="s">
        <v>33</v>
      </c>
      <c r="C22" s="227"/>
      <c r="D22" s="55"/>
      <c r="E22" s="57">
        <v>3500</v>
      </c>
      <c r="F22" s="57"/>
      <c r="G22" s="57"/>
      <c r="H22" s="56"/>
      <c r="I22" s="56"/>
      <c r="J22" s="56"/>
      <c r="K22" s="56"/>
      <c r="L22" s="56"/>
      <c r="M22" s="56"/>
      <c r="N22" s="55"/>
      <c r="O22" s="58"/>
      <c r="P22" s="59"/>
    </row>
    <row r="23" spans="1:17" s="3" customFormat="1" ht="30" customHeight="1" x14ac:dyDescent="0.4">
      <c r="A23" s="20" t="s">
        <v>31</v>
      </c>
      <c r="B23" s="226" t="s">
        <v>34</v>
      </c>
      <c r="C23" s="229"/>
      <c r="D23" s="55"/>
      <c r="E23" s="57">
        <v>0</v>
      </c>
      <c r="F23" s="57"/>
      <c r="G23" s="57"/>
      <c r="H23" s="56"/>
      <c r="I23" s="56"/>
      <c r="J23" s="56"/>
      <c r="K23" s="56"/>
      <c r="L23" s="56"/>
      <c r="M23" s="56"/>
      <c r="N23" s="55"/>
      <c r="O23" s="58"/>
      <c r="P23" s="59"/>
    </row>
    <row r="24" spans="1:17" s="3" customFormat="1" ht="30" customHeight="1" x14ac:dyDescent="0.4">
      <c r="A24" s="20" t="s">
        <v>36</v>
      </c>
      <c r="B24" s="254" t="s">
        <v>37</v>
      </c>
      <c r="C24" s="212"/>
      <c r="D24" s="55"/>
      <c r="E24" s="57">
        <v>20</v>
      </c>
      <c r="F24" s="57"/>
      <c r="G24" s="57"/>
      <c r="H24" s="56"/>
      <c r="I24" s="56"/>
      <c r="J24" s="56"/>
      <c r="K24" s="56"/>
      <c r="L24" s="56"/>
      <c r="M24" s="56"/>
      <c r="N24" s="55"/>
      <c r="O24" s="58"/>
      <c r="P24" s="59"/>
    </row>
    <row r="25" spans="1:17" s="3" customFormat="1" ht="15" customHeight="1" thickBot="1" x14ac:dyDescent="0.45">
      <c r="A25" s="62" t="s">
        <v>38</v>
      </c>
      <c r="B25" s="230" t="s">
        <v>39</v>
      </c>
      <c r="C25" s="231"/>
      <c r="D25" s="73">
        <v>1</v>
      </c>
      <c r="E25" s="64"/>
      <c r="F25" s="64"/>
      <c r="G25" s="64"/>
      <c r="H25" s="64"/>
      <c r="I25" s="64"/>
      <c r="J25" s="64"/>
      <c r="K25" s="64"/>
      <c r="L25" s="64"/>
      <c r="M25" s="64"/>
      <c r="N25" s="63"/>
      <c r="O25" s="66"/>
      <c r="P25" s="67"/>
    </row>
    <row r="26" spans="1:17" s="3" customFormat="1" ht="15" customHeight="1" thickBot="1" x14ac:dyDescent="0.45">
      <c r="A26" s="68" t="s">
        <v>40</v>
      </c>
      <c r="B26" s="232"/>
      <c r="C26" s="233"/>
      <c r="D26" s="69"/>
      <c r="E26" s="70"/>
      <c r="F26" s="70"/>
      <c r="G26" s="70"/>
      <c r="H26" s="70"/>
      <c r="I26" s="70"/>
      <c r="J26" s="70"/>
      <c r="K26" s="70"/>
      <c r="L26" s="70"/>
      <c r="M26" s="70"/>
      <c r="N26" s="69"/>
      <c r="O26" s="71"/>
      <c r="P26" s="72"/>
    </row>
    <row r="27" spans="1:17" s="3" customFormat="1" x14ac:dyDescent="0.4">
      <c r="A27" s="25" t="s">
        <v>41</v>
      </c>
      <c r="B27" s="234" t="s">
        <v>42</v>
      </c>
      <c r="C27" s="235"/>
      <c r="D27" s="74">
        <v>0</v>
      </c>
      <c r="E27" s="52"/>
      <c r="F27" s="51"/>
      <c r="G27" s="51"/>
      <c r="H27" s="51"/>
      <c r="I27" s="51"/>
      <c r="J27" s="51"/>
      <c r="K27" s="51"/>
      <c r="L27" s="51"/>
      <c r="M27" s="51"/>
      <c r="N27" s="50"/>
      <c r="O27" s="53"/>
      <c r="P27" s="54"/>
    </row>
    <row r="28" spans="1:17" s="3" customFormat="1" ht="30" customHeight="1" x14ac:dyDescent="0.4">
      <c r="A28" s="139" t="s">
        <v>41</v>
      </c>
      <c r="B28" s="254" t="s">
        <v>97</v>
      </c>
      <c r="C28" s="262"/>
      <c r="D28" s="55"/>
      <c r="E28" s="57">
        <v>0</v>
      </c>
      <c r="F28" s="57"/>
      <c r="G28" s="57"/>
      <c r="H28" s="56"/>
      <c r="I28" s="56"/>
      <c r="J28" s="56"/>
      <c r="K28" s="56"/>
      <c r="L28" s="56"/>
      <c r="M28" s="56"/>
      <c r="N28" s="55"/>
      <c r="O28" s="58"/>
      <c r="P28" s="59"/>
    </row>
    <row r="29" spans="1:17" s="3" customFormat="1" ht="15" customHeight="1" thickBot="1" x14ac:dyDescent="0.45">
      <c r="A29" s="75" t="s">
        <v>46</v>
      </c>
      <c r="B29" s="230" t="s">
        <v>47</v>
      </c>
      <c r="C29" s="231"/>
      <c r="D29" s="63"/>
      <c r="E29" s="65">
        <v>10</v>
      </c>
      <c r="F29" s="65"/>
      <c r="G29" s="65"/>
      <c r="H29" s="64"/>
      <c r="I29" s="64"/>
      <c r="J29" s="64"/>
      <c r="K29" s="64"/>
      <c r="L29" s="64"/>
      <c r="M29" s="64"/>
      <c r="N29" s="63"/>
      <c r="O29" s="66"/>
      <c r="P29" s="67"/>
    </row>
    <row r="30" spans="1:17" s="3" customFormat="1" ht="15" customHeight="1" thickBot="1" x14ac:dyDescent="0.45">
      <c r="A30" s="68" t="s">
        <v>48</v>
      </c>
      <c r="B30" s="249"/>
      <c r="C30" s="250"/>
      <c r="D30" s="69"/>
      <c r="E30" s="70"/>
      <c r="F30" s="70"/>
      <c r="G30" s="70"/>
      <c r="H30" s="70"/>
      <c r="I30" s="70"/>
      <c r="J30" s="70"/>
      <c r="K30" s="70"/>
      <c r="L30" s="70"/>
      <c r="M30" s="70"/>
      <c r="N30" s="69"/>
      <c r="O30" s="71"/>
      <c r="P30" s="72"/>
    </row>
    <row r="31" spans="1:17" x14ac:dyDescent="0.4">
      <c r="A31" s="35" t="s">
        <v>49</v>
      </c>
      <c r="B31" s="247" t="s">
        <v>50</v>
      </c>
      <c r="C31" s="248"/>
      <c r="D31" s="22"/>
      <c r="E31" s="23"/>
      <c r="F31" s="23"/>
      <c r="G31" s="23"/>
      <c r="H31" s="36"/>
      <c r="I31" s="24">
        <v>8</v>
      </c>
      <c r="J31" s="23"/>
      <c r="K31" s="23"/>
      <c r="L31" s="23"/>
      <c r="M31" s="23"/>
      <c r="N31" s="26">
        <v>8</v>
      </c>
      <c r="O31" s="38">
        <v>8</v>
      </c>
      <c r="P31" s="39">
        <v>8</v>
      </c>
      <c r="Q31"/>
    </row>
    <row r="32" spans="1:17" ht="15" thickBot="1" x14ac:dyDescent="0.45">
      <c r="A32" s="21" t="s">
        <v>51</v>
      </c>
      <c r="B32" s="238" t="s">
        <v>52</v>
      </c>
      <c r="C32" s="239"/>
      <c r="D32" s="17"/>
      <c r="E32" s="18"/>
      <c r="F32" s="18"/>
      <c r="G32" s="18"/>
      <c r="H32" s="18"/>
      <c r="I32" s="18"/>
      <c r="J32" s="18"/>
      <c r="K32" s="18"/>
      <c r="L32" s="18"/>
      <c r="M32" s="187">
        <v>12</v>
      </c>
      <c r="N32" s="17"/>
      <c r="O32" s="32"/>
      <c r="P32" s="14"/>
      <c r="Q32"/>
    </row>
    <row r="33" spans="1:22" ht="15" thickBot="1" x14ac:dyDescent="0.45">
      <c r="A33" s="40"/>
      <c r="B33" s="42"/>
      <c r="C33" s="41" t="s">
        <v>53</v>
      </c>
      <c r="D33" s="15">
        <f t="shared" ref="D33:P33" si="0">SUM(D6:D32)</f>
        <v>46</v>
      </c>
      <c r="E33" s="19">
        <f t="shared" si="0"/>
        <v>3660</v>
      </c>
      <c r="F33" s="19">
        <f t="shared" si="0"/>
        <v>5</v>
      </c>
      <c r="G33" s="19">
        <f t="shared" si="0"/>
        <v>33</v>
      </c>
      <c r="H33" s="19">
        <f t="shared" si="0"/>
        <v>0</v>
      </c>
      <c r="I33" s="19">
        <f t="shared" si="0"/>
        <v>8</v>
      </c>
      <c r="J33" s="19">
        <f t="shared" si="0"/>
        <v>0</v>
      </c>
      <c r="K33" s="19">
        <f t="shared" si="0"/>
        <v>0</v>
      </c>
      <c r="L33" s="19">
        <f t="shared" si="0"/>
        <v>0</v>
      </c>
      <c r="M33" s="19">
        <f t="shared" si="0"/>
        <v>12</v>
      </c>
      <c r="N33" s="15">
        <f t="shared" si="0"/>
        <v>28</v>
      </c>
      <c r="O33" s="33">
        <f t="shared" si="0"/>
        <v>1008</v>
      </c>
      <c r="P33" s="16">
        <f t="shared" si="0"/>
        <v>8</v>
      </c>
      <c r="Q33"/>
    </row>
    <row r="34" spans="1:22" x14ac:dyDescent="0.4">
      <c r="D34" s="6"/>
      <c r="E34" s="6"/>
      <c r="F34" s="6"/>
      <c r="G34" s="6"/>
      <c r="H34" s="6"/>
      <c r="I34" s="6"/>
      <c r="J34" s="6"/>
      <c r="K34" s="6"/>
      <c r="L34" s="6"/>
      <c r="M34" s="6"/>
      <c r="N34" s="6"/>
      <c r="O34" s="6"/>
      <c r="P34" s="6"/>
      <c r="Q34"/>
    </row>
    <row r="35" spans="1:22" ht="15" thickBot="1" x14ac:dyDescent="0.45">
      <c r="D35" s="6"/>
      <c r="E35" s="6"/>
      <c r="F35" s="6"/>
      <c r="G35" s="6"/>
      <c r="H35" s="6"/>
      <c r="I35" s="6"/>
      <c r="J35" s="6"/>
      <c r="K35" s="6"/>
      <c r="L35" s="6"/>
      <c r="M35" s="6"/>
      <c r="N35" s="6"/>
      <c r="O35" s="6"/>
      <c r="P35" s="6"/>
      <c r="Q35"/>
    </row>
    <row r="36" spans="1:22" ht="15" thickBot="1" x14ac:dyDescent="0.45">
      <c r="B36" s="92"/>
      <c r="C36" s="93" t="s">
        <v>54</v>
      </c>
      <c r="D36" s="94">
        <v>2023</v>
      </c>
      <c r="E36" s="95">
        <v>2024</v>
      </c>
      <c r="F36" s="95">
        <v>2025</v>
      </c>
      <c r="G36" s="95">
        <v>2026</v>
      </c>
      <c r="H36" s="95">
        <v>2027</v>
      </c>
      <c r="I36" s="95">
        <v>2028</v>
      </c>
      <c r="J36" s="95">
        <v>2029</v>
      </c>
      <c r="K36" s="95">
        <v>2030</v>
      </c>
      <c r="L36" s="95">
        <v>2031</v>
      </c>
      <c r="M36" s="95">
        <v>2032</v>
      </c>
      <c r="N36" s="117">
        <v>2037</v>
      </c>
      <c r="O36" s="118">
        <v>2042</v>
      </c>
      <c r="P36" s="96">
        <v>2050</v>
      </c>
      <c r="Q36"/>
    </row>
    <row r="37" spans="1:22" ht="15" thickBot="1" x14ac:dyDescent="0.45">
      <c r="B37" s="137" t="s">
        <v>55</v>
      </c>
      <c r="C37" s="97">
        <v>215</v>
      </c>
      <c r="D37" s="98">
        <v>215</v>
      </c>
      <c r="E37" s="189">
        <v>174</v>
      </c>
      <c r="F37" s="99">
        <v>174</v>
      </c>
      <c r="G37" s="99">
        <v>174</v>
      </c>
      <c r="H37" s="99">
        <v>174</v>
      </c>
      <c r="I37" s="99">
        <v>174</v>
      </c>
      <c r="J37" s="189">
        <v>174</v>
      </c>
      <c r="K37" s="99">
        <v>174</v>
      </c>
      <c r="L37" s="99">
        <v>174</v>
      </c>
      <c r="M37" s="99">
        <v>174</v>
      </c>
      <c r="N37" s="128">
        <v>174</v>
      </c>
      <c r="O37" s="198">
        <v>143</v>
      </c>
      <c r="P37" s="100">
        <v>143</v>
      </c>
      <c r="Q37"/>
    </row>
    <row r="38" spans="1:22" x14ac:dyDescent="0.4">
      <c r="B38" s="107" t="s">
        <v>56</v>
      </c>
      <c r="C38" s="8"/>
      <c r="D38" s="7"/>
      <c r="E38" s="3" t="s">
        <v>108</v>
      </c>
      <c r="F38" s="7"/>
      <c r="G38" s="7"/>
      <c r="H38" s="7"/>
      <c r="I38" s="7"/>
      <c r="J38" s="3"/>
      <c r="K38" s="7"/>
      <c r="L38" s="7"/>
      <c r="M38" s="7"/>
      <c r="N38" s="7"/>
      <c r="O38" s="7" t="s">
        <v>98</v>
      </c>
      <c r="P38" s="9"/>
      <c r="Q38"/>
    </row>
    <row r="39" spans="1:22" ht="15" thickBot="1" x14ac:dyDescent="0.45">
      <c r="C39" s="8"/>
      <c r="D39" s="7"/>
      <c r="E39" s="7"/>
      <c r="F39" s="7"/>
      <c r="G39" s="7"/>
      <c r="H39" s="7"/>
      <c r="I39" s="7"/>
      <c r="J39" s="7"/>
      <c r="K39" s="7"/>
      <c r="L39" s="7"/>
      <c r="M39" s="7"/>
      <c r="N39" s="7"/>
      <c r="O39" s="7"/>
      <c r="P39" s="9"/>
      <c r="Q39"/>
    </row>
    <row r="40" spans="1:22" ht="15" thickBot="1" x14ac:dyDescent="0.45">
      <c r="B40" s="92"/>
      <c r="C40" s="93" t="s">
        <v>54</v>
      </c>
      <c r="D40" s="94">
        <v>2023</v>
      </c>
      <c r="E40" s="95">
        <v>2024</v>
      </c>
      <c r="F40" s="95">
        <v>2025</v>
      </c>
      <c r="G40" s="95">
        <v>2026</v>
      </c>
      <c r="H40" s="95">
        <v>2027</v>
      </c>
      <c r="I40" s="95">
        <v>2028</v>
      </c>
      <c r="J40" s="95">
        <v>2029</v>
      </c>
      <c r="K40" s="95">
        <v>2030</v>
      </c>
      <c r="L40" s="95">
        <v>2031</v>
      </c>
      <c r="M40" s="95">
        <v>2032</v>
      </c>
      <c r="N40" s="117">
        <v>2037</v>
      </c>
      <c r="O40" s="118">
        <v>2042</v>
      </c>
      <c r="P40" s="96">
        <v>2050</v>
      </c>
      <c r="Q40"/>
    </row>
    <row r="41" spans="1:22" x14ac:dyDescent="0.4">
      <c r="B41" s="133" t="s">
        <v>57</v>
      </c>
      <c r="C41" s="101">
        <f t="shared" ref="C41:P41" si="1">C63</f>
        <v>79889</v>
      </c>
      <c r="D41" s="102">
        <f t="shared" si="1"/>
        <v>79889</v>
      </c>
      <c r="E41" s="103">
        <f t="shared" si="1"/>
        <v>75270</v>
      </c>
      <c r="F41" s="103">
        <f t="shared" si="1"/>
        <v>75270</v>
      </c>
      <c r="G41" s="103">
        <f t="shared" si="1"/>
        <v>75270</v>
      </c>
      <c r="H41" s="103">
        <f t="shared" si="1"/>
        <v>75270</v>
      </c>
      <c r="I41" s="103">
        <f t="shared" si="1"/>
        <v>75270</v>
      </c>
      <c r="J41" s="103">
        <f t="shared" si="1"/>
        <v>75270</v>
      </c>
      <c r="K41" s="103">
        <f t="shared" si="1"/>
        <v>75270</v>
      </c>
      <c r="L41" s="103">
        <f t="shared" si="1"/>
        <v>75270</v>
      </c>
      <c r="M41" s="103">
        <f t="shared" si="1"/>
        <v>75270</v>
      </c>
      <c r="N41" s="119">
        <f t="shared" si="1"/>
        <v>75270</v>
      </c>
      <c r="O41" s="120">
        <f t="shared" si="1"/>
        <v>75270</v>
      </c>
      <c r="P41" s="132">
        <f t="shared" si="1"/>
        <v>75270</v>
      </c>
      <c r="Q41"/>
    </row>
    <row r="42" spans="1:22" x14ac:dyDescent="0.4">
      <c r="B42" s="134" t="s">
        <v>58</v>
      </c>
      <c r="C42" s="37">
        <f t="shared" ref="C42:P42" si="2">C64</f>
        <v>713981</v>
      </c>
      <c r="D42" s="30">
        <f t="shared" si="2"/>
        <v>713981</v>
      </c>
      <c r="E42" s="29">
        <f t="shared" si="2"/>
        <v>552368</v>
      </c>
      <c r="F42" s="29">
        <f t="shared" si="2"/>
        <v>552368</v>
      </c>
      <c r="G42" s="29">
        <f t="shared" si="2"/>
        <v>552368</v>
      </c>
      <c r="H42" s="29">
        <f t="shared" si="2"/>
        <v>552368</v>
      </c>
      <c r="I42" s="29">
        <f t="shared" si="2"/>
        <v>552368</v>
      </c>
      <c r="J42" s="29">
        <f t="shared" si="2"/>
        <v>552368</v>
      </c>
      <c r="K42" s="29">
        <f t="shared" si="2"/>
        <v>552368</v>
      </c>
      <c r="L42" s="29">
        <f t="shared" si="2"/>
        <v>552368</v>
      </c>
      <c r="M42" s="29">
        <f t="shared" si="2"/>
        <v>552368</v>
      </c>
      <c r="N42" s="121">
        <f t="shared" si="2"/>
        <v>552368</v>
      </c>
      <c r="O42" s="122">
        <f t="shared" si="2"/>
        <v>421948</v>
      </c>
      <c r="P42" s="130">
        <f t="shared" si="2"/>
        <v>421948</v>
      </c>
      <c r="Q42"/>
      <c r="S42" s="138"/>
      <c r="V42" s="138"/>
    </row>
    <row r="43" spans="1:22" x14ac:dyDescent="0.4">
      <c r="B43" s="135" t="s">
        <v>59</v>
      </c>
      <c r="C43" s="37">
        <f>C56*C63/1000+C57</f>
        <v>24902.7</v>
      </c>
      <c r="D43" s="30">
        <f t="shared" ref="D43:P43" si="3">(D57+D56*D63/1000)</f>
        <v>24902.7</v>
      </c>
      <c r="E43" s="29">
        <f t="shared" si="3"/>
        <v>16018.08</v>
      </c>
      <c r="F43" s="29">
        <f t="shared" si="3"/>
        <v>12283.502399999999</v>
      </c>
      <c r="G43" s="29">
        <f t="shared" si="3"/>
        <v>12652.007472000001</v>
      </c>
      <c r="H43" s="29">
        <f t="shared" si="3"/>
        <v>13031.56769616</v>
      </c>
      <c r="I43" s="29">
        <f t="shared" si="3"/>
        <v>13422.514727044801</v>
      </c>
      <c r="J43" s="29">
        <f t="shared" si="3"/>
        <v>13825.190168856145</v>
      </c>
      <c r="K43" s="29">
        <f t="shared" si="3"/>
        <v>14239.945873921828</v>
      </c>
      <c r="L43" s="29">
        <f t="shared" si="3"/>
        <v>14667.144250139485</v>
      </c>
      <c r="M43" s="29">
        <f t="shared" si="3"/>
        <v>15107.158577643668</v>
      </c>
      <c r="N43" s="121">
        <f t="shared" si="3"/>
        <v>17513.337275401165</v>
      </c>
      <c r="O43" s="122">
        <f t="shared" si="3"/>
        <v>20302.757857844368</v>
      </c>
      <c r="P43" s="130">
        <f t="shared" si="3"/>
        <v>25718.926223974573</v>
      </c>
      <c r="Q43"/>
      <c r="R43" s="7"/>
      <c r="S43" s="138"/>
    </row>
    <row r="44" spans="1:22" x14ac:dyDescent="0.4">
      <c r="B44" s="135" t="s">
        <v>60</v>
      </c>
      <c r="C44" s="37">
        <f t="shared" ref="C44:P44" si="4">C59*C64/1000+C60</f>
        <v>71540.055000000008</v>
      </c>
      <c r="D44" s="30">
        <f t="shared" si="4"/>
        <v>71540.055000000008</v>
      </c>
      <c r="E44" s="30">
        <f t="shared" si="4"/>
        <v>58976.306499999999</v>
      </c>
      <c r="F44" s="29">
        <f t="shared" si="4"/>
        <v>60745.595695000004</v>
      </c>
      <c r="G44" s="29">
        <f t="shared" si="4"/>
        <v>62567.963565850005</v>
      </c>
      <c r="H44" s="29">
        <f t="shared" si="4"/>
        <v>64445.002472825508</v>
      </c>
      <c r="I44" s="29">
        <f t="shared" si="4"/>
        <v>66378.352547010276</v>
      </c>
      <c r="J44" s="29">
        <f t="shared" si="4"/>
        <v>68369.703123420593</v>
      </c>
      <c r="K44" s="29">
        <f t="shared" si="4"/>
        <v>70420.794217123213</v>
      </c>
      <c r="L44" s="29">
        <f t="shared" si="4"/>
        <v>72533.418043636906</v>
      </c>
      <c r="M44" s="29">
        <f t="shared" si="4"/>
        <v>74709.420584946012</v>
      </c>
      <c r="N44" s="121">
        <f t="shared" si="4"/>
        <v>86608.694390102639</v>
      </c>
      <c r="O44" s="122">
        <f t="shared" si="4"/>
        <v>80964.371962821009</v>
      </c>
      <c r="P44" s="130">
        <f t="shared" si="4"/>
        <v>99575.965107611642</v>
      </c>
      <c r="Q44"/>
      <c r="V44" s="138"/>
    </row>
    <row r="45" spans="1:22" x14ac:dyDescent="0.4">
      <c r="B45" s="135" t="s">
        <v>61</v>
      </c>
      <c r="C45" s="37">
        <v>0</v>
      </c>
      <c r="D45" s="30">
        <f t="shared" ref="D45:I45" si="5">((D56*$C$63/1000+D57)+(D59*$C$64/1000+D60))-(D43+D44)</f>
        <v>0</v>
      </c>
      <c r="E45" s="30">
        <f t="shared" si="5"/>
        <v>15073.018150000004</v>
      </c>
      <c r="F45" s="30">
        <f t="shared" si="5"/>
        <v>15266.5446945</v>
      </c>
      <c r="G45" s="30">
        <f t="shared" si="5"/>
        <v>15724.541035335002</v>
      </c>
      <c r="H45" s="30">
        <f t="shared" si="5"/>
        <v>16196.277266395045</v>
      </c>
      <c r="I45" s="30">
        <f t="shared" si="5"/>
        <v>16682.165584386908</v>
      </c>
      <c r="J45" s="30">
        <f>((J56*$C$63/1000+(12*78)*1.03^6)+(J59*$C$64/1000+(5950*0.4+3027.67+27.22*200)*1.03^6))-(J43+J44)</f>
        <v>17832.672622148893</v>
      </c>
      <c r="K45" s="30">
        <f>((K56*$C$63/1000+(12*78)*1.03^7)+(K59*$C$64/1000+(5950*0.4+3027.67+27.22*200)*1.03^7))-(K43+K44)</f>
        <v>18367.652800813346</v>
      </c>
      <c r="L45" s="30">
        <f>((L56*$C$63/1000+(12*78)*1.03^8)+(L59*$C$64/1000+(5950*0.4+3027.67+27.22*200)*1.03^8))-(L43+L44)</f>
        <v>18918.682384837768</v>
      </c>
      <c r="M45" s="30">
        <f>((M56*$C$63/1000+(12*78)*1.03^9)+(M59*$C$64/1000+(5950*0.4+3027.67+27.22*200)*1.03^9))-(M43+M44)</f>
        <v>19486.242856382916</v>
      </c>
      <c r="N45" s="121">
        <f>((N56*$C$63/1000+(12*78)*1.03^15)+(N59*$C$64/1000+(5950*0.4+3027.67+27.22*200)*1.03^15))-(N43+N44)</f>
        <v>23124.793404577751</v>
      </c>
      <c r="O45" s="123">
        <f>((O56*$C$63/1000+(12*78)*1.03^20)+(O59*$C$64/1000+(5950*0.4+3027.67+27.22*200)*1.03^20))-(O43+O44)</f>
        <v>46246.815520067437</v>
      </c>
      <c r="P45" s="130">
        <f>((P56*$C$63/1000+(12*78)*1.03^27)+(P59*$C$64/1000+(5950*0.4+3027.67+27.22*200)*1.03^27))-(P43+P44)</f>
        <v>56859.445326363391</v>
      </c>
      <c r="Q45"/>
    </row>
    <row r="46" spans="1:22" ht="15" thickBot="1" x14ac:dyDescent="0.45">
      <c r="B46" s="136" t="s">
        <v>99</v>
      </c>
      <c r="C46" s="104">
        <f t="shared" ref="C46:P46" si="6">(C64/1000*C62+C63/1000*C61)/1000</f>
        <v>37.891824300000003</v>
      </c>
      <c r="D46" s="105">
        <f t="shared" si="6"/>
        <v>37.891824300000003</v>
      </c>
      <c r="E46" s="106">
        <f t="shared" si="6"/>
        <v>30.003262176000003</v>
      </c>
      <c r="F46" s="106">
        <f t="shared" si="6"/>
        <v>28.909118250719999</v>
      </c>
      <c r="G46" s="106">
        <f t="shared" si="6"/>
        <v>27.833346803198399</v>
      </c>
      <c r="H46" s="106">
        <f t="shared" si="6"/>
        <v>26.775396659102448</v>
      </c>
      <c r="I46" s="106">
        <f t="shared" si="6"/>
        <v>25.734733179329371</v>
      </c>
      <c r="J46" s="106">
        <f t="shared" si="6"/>
        <v>24.710837763949495</v>
      </c>
      <c r="K46" s="106">
        <f t="shared" si="6"/>
        <v>23.703207371031002</v>
      </c>
      <c r="L46" s="106">
        <f t="shared" si="6"/>
        <v>22.967272049900071</v>
      </c>
      <c r="M46" s="106">
        <f t="shared" si="6"/>
        <v>22.246640488403074</v>
      </c>
      <c r="N46" s="124">
        <f t="shared" si="6"/>
        <v>18.857443605408545</v>
      </c>
      <c r="O46" s="125">
        <f t="shared" si="6"/>
        <v>13.24270682380682</v>
      </c>
      <c r="P46" s="131">
        <f t="shared" si="6"/>
        <v>10.450662752372862</v>
      </c>
      <c r="Q46"/>
    </row>
    <row r="47" spans="1:22" ht="15" thickBot="1" x14ac:dyDescent="0.45">
      <c r="B47" s="49" t="s">
        <v>63</v>
      </c>
      <c r="C47" s="108"/>
      <c r="D47" s="109"/>
      <c r="E47" s="109"/>
      <c r="F47" s="109"/>
      <c r="G47" s="109"/>
      <c r="H47" s="109"/>
      <c r="I47" s="109"/>
      <c r="J47" s="109"/>
      <c r="K47" s="109"/>
      <c r="L47" s="109"/>
      <c r="M47" s="109"/>
      <c r="N47" s="109"/>
      <c r="O47" s="109"/>
      <c r="P47" s="109"/>
      <c r="Q47" s="108"/>
    </row>
    <row r="48" spans="1:22" hidden="1" x14ac:dyDescent="0.4">
      <c r="B48" s="49"/>
      <c r="C48" s="108"/>
      <c r="D48" s="109"/>
      <c r="E48" s="109"/>
      <c r="F48" s="109"/>
      <c r="G48" s="109"/>
      <c r="H48" s="109"/>
      <c r="I48" s="109"/>
      <c r="J48" s="109"/>
      <c r="K48" s="109"/>
      <c r="L48" s="109"/>
      <c r="M48" s="109"/>
      <c r="N48" s="109"/>
      <c r="O48" s="109"/>
      <c r="P48" s="109"/>
      <c r="Q48" s="108"/>
    </row>
    <row r="49" spans="1:23" ht="15" hidden="1" thickBot="1" x14ac:dyDescent="0.45">
      <c r="B49" s="49"/>
      <c r="C49" s="108"/>
      <c r="D49" s="94">
        <v>2023</v>
      </c>
      <c r="E49" s="95">
        <v>2024</v>
      </c>
      <c r="F49" s="95">
        <v>2025</v>
      </c>
      <c r="G49" s="95">
        <v>2026</v>
      </c>
      <c r="H49" s="95">
        <v>2027</v>
      </c>
      <c r="I49" s="95">
        <v>2028</v>
      </c>
      <c r="J49" s="95">
        <v>2029</v>
      </c>
      <c r="K49" s="95">
        <v>2030</v>
      </c>
      <c r="L49" s="95">
        <v>2031</v>
      </c>
      <c r="M49" s="95">
        <v>2032</v>
      </c>
      <c r="N49" s="116">
        <v>2033</v>
      </c>
      <c r="O49" s="143">
        <v>2038</v>
      </c>
      <c r="P49" s="144">
        <v>2043</v>
      </c>
      <c r="Q49" s="145">
        <v>2050</v>
      </c>
    </row>
    <row r="50" spans="1:23" hidden="1" x14ac:dyDescent="0.4">
      <c r="A50" s="255" t="s">
        <v>100</v>
      </c>
      <c r="B50" s="242"/>
      <c r="C50" s="256"/>
      <c r="D50" s="111">
        <f>D33+D43+D44</f>
        <v>96488.755000000005</v>
      </c>
      <c r="E50" s="111">
        <f t="shared" ref="E50:M50" si="7">D50+E33+E43+E44</f>
        <v>175143.1415</v>
      </c>
      <c r="F50" s="111">
        <f t="shared" si="7"/>
        <v>248177.23959499999</v>
      </c>
      <c r="G50" s="111">
        <f t="shared" si="7"/>
        <v>323430.21063285001</v>
      </c>
      <c r="H50" s="111">
        <f t="shared" si="7"/>
        <v>400906.78080183553</v>
      </c>
      <c r="I50" s="111">
        <f t="shared" si="7"/>
        <v>480715.64807589061</v>
      </c>
      <c r="J50" s="111">
        <f t="shared" si="7"/>
        <v>562910.54136816738</v>
      </c>
      <c r="K50" s="111">
        <f t="shared" si="7"/>
        <v>647571.28145921242</v>
      </c>
      <c r="L50" s="111">
        <f t="shared" si="7"/>
        <v>734771.84375298885</v>
      </c>
      <c r="M50" s="111">
        <f t="shared" si="7"/>
        <v>824600.42291557859</v>
      </c>
      <c r="N50" s="141" t="e">
        <f>M50+#REF!+#REF!+#REF!</f>
        <v>#REF!</v>
      </c>
      <c r="O50" s="142" t="e">
        <f>N50+N33+N43+N44</f>
        <v>#REF!</v>
      </c>
      <c r="P50" s="146" t="e">
        <f>O50+O33+O43+O44</f>
        <v>#REF!</v>
      </c>
      <c r="Q50" s="148" t="e">
        <f>P50+P33+P43+P44</f>
        <v>#REF!</v>
      </c>
    </row>
    <row r="51" spans="1:23" ht="15" hidden="1" customHeight="1" x14ac:dyDescent="0.4">
      <c r="A51" s="244" t="s">
        <v>101</v>
      </c>
      <c r="B51" s="245"/>
      <c r="C51" s="246"/>
      <c r="D51" s="112">
        <f>D33</f>
        <v>46</v>
      </c>
      <c r="E51" s="112">
        <f>D51+E33</f>
        <v>3706</v>
      </c>
      <c r="F51" s="112">
        <f>E51+F33-1.5</f>
        <v>3709.5</v>
      </c>
      <c r="G51" s="112">
        <f>F51+G33</f>
        <v>3742.5</v>
      </c>
      <c r="H51" s="112">
        <f>G51+H33</f>
        <v>3742.5</v>
      </c>
      <c r="I51" s="112">
        <f>H51+I33-5</f>
        <v>3745.5</v>
      </c>
      <c r="J51" s="112">
        <f>I51+J33-124</f>
        <v>3621.5</v>
      </c>
      <c r="K51" s="112">
        <f>J51+K33</f>
        <v>3621.5</v>
      </c>
      <c r="L51" s="112">
        <f>K51+L33</f>
        <v>3621.5</v>
      </c>
      <c r="M51" s="112">
        <f>L51+M33-60</f>
        <v>3573.5</v>
      </c>
      <c r="N51" s="114" t="e">
        <f>M51+#REF!</f>
        <v>#REF!</v>
      </c>
      <c r="O51" s="126" t="e">
        <f>N51+N33-5</f>
        <v>#REF!</v>
      </c>
      <c r="P51" s="114" t="e">
        <f>O51+O33-704</f>
        <v>#REF!</v>
      </c>
      <c r="Q51" s="149" t="e">
        <f>P51+P33</f>
        <v>#REF!</v>
      </c>
      <c r="V51" s="110"/>
      <c r="W51" s="110"/>
    </row>
    <row r="52" spans="1:23" ht="15" hidden="1" customHeight="1" x14ac:dyDescent="0.4">
      <c r="A52" s="257" t="s">
        <v>102</v>
      </c>
      <c r="B52" s="258"/>
      <c r="C52" s="259"/>
      <c r="D52" s="113">
        <f>D45/1000</f>
        <v>0</v>
      </c>
      <c r="E52" s="113">
        <f t="shared" ref="E52:M52" si="8">D52+E45/1000</f>
        <v>15.073018150000003</v>
      </c>
      <c r="F52" s="113">
        <f t="shared" si="8"/>
        <v>30.339562844500001</v>
      </c>
      <c r="G52" s="113">
        <f t="shared" si="8"/>
        <v>46.064103879835002</v>
      </c>
      <c r="H52" s="113">
        <f t="shared" si="8"/>
        <v>62.260381146230046</v>
      </c>
      <c r="I52" s="113">
        <f t="shared" si="8"/>
        <v>78.942546730616954</v>
      </c>
      <c r="J52" s="113">
        <f t="shared" si="8"/>
        <v>96.775219352765845</v>
      </c>
      <c r="K52" s="113">
        <f t="shared" si="8"/>
        <v>115.14287215357919</v>
      </c>
      <c r="L52" s="113">
        <f t="shared" si="8"/>
        <v>134.06155453841697</v>
      </c>
      <c r="M52" s="113">
        <f t="shared" si="8"/>
        <v>153.54779739479989</v>
      </c>
      <c r="N52" s="115" t="e">
        <f>M52+#REF!/1000</f>
        <v>#REF!</v>
      </c>
      <c r="O52" s="127" t="e">
        <f>N52+N45*5/1000</f>
        <v>#REF!</v>
      </c>
      <c r="P52" s="147" t="e">
        <f>O52+O45*5/1000</f>
        <v>#REF!</v>
      </c>
      <c r="Q52" s="150" t="e">
        <f>P52+P45*7/1000</f>
        <v>#REF!</v>
      </c>
      <c r="S52" s="138"/>
      <c r="V52" s="110"/>
      <c r="W52" s="110"/>
    </row>
    <row r="53" spans="1:23" ht="110.25" customHeight="1" thickBot="1" x14ac:dyDescent="0.45">
      <c r="B53" s="260"/>
      <c r="C53" s="260"/>
      <c r="D53" s="260"/>
      <c r="E53" s="260"/>
      <c r="F53" s="260"/>
      <c r="G53" s="260"/>
      <c r="H53" s="260"/>
      <c r="I53" s="260"/>
      <c r="J53" s="260"/>
      <c r="K53" s="260"/>
      <c r="L53" s="260"/>
      <c r="M53" s="260"/>
      <c r="N53" s="260"/>
      <c r="O53" s="261"/>
      <c r="P53" s="261"/>
      <c r="Q53" s="261"/>
    </row>
    <row r="54" spans="1:23" ht="15" thickTop="1" x14ac:dyDescent="0.4">
      <c r="A54" s="43"/>
      <c r="B54" s="43"/>
      <c r="C54" s="44"/>
      <c r="D54" s="45"/>
      <c r="E54" s="45"/>
      <c r="F54" s="45"/>
      <c r="G54" s="45"/>
      <c r="H54" s="45"/>
      <c r="I54" s="45"/>
      <c r="J54" s="45"/>
      <c r="K54" s="45"/>
      <c r="L54" s="45"/>
      <c r="M54" s="45"/>
      <c r="N54" s="45"/>
      <c r="O54" s="45"/>
      <c r="P54" s="45"/>
      <c r="Q54" s="46"/>
      <c r="R54" s="43"/>
      <c r="S54" s="43"/>
    </row>
    <row r="55" spans="1:23" x14ac:dyDescent="0.4">
      <c r="A55" s="1" t="s">
        <v>69</v>
      </c>
      <c r="C55" s="89" t="s">
        <v>54</v>
      </c>
      <c r="D55" s="90">
        <v>2023</v>
      </c>
      <c r="E55" s="90">
        <v>2024</v>
      </c>
      <c r="F55" s="90">
        <v>2025</v>
      </c>
      <c r="G55" s="90">
        <v>2026</v>
      </c>
      <c r="H55" s="90">
        <v>2027</v>
      </c>
      <c r="I55" s="90">
        <v>2028</v>
      </c>
      <c r="J55" s="90">
        <v>2029</v>
      </c>
      <c r="K55" s="90">
        <v>2030</v>
      </c>
      <c r="L55" s="90">
        <v>2031</v>
      </c>
      <c r="M55" s="90">
        <v>2032</v>
      </c>
      <c r="N55" s="90" t="s">
        <v>70</v>
      </c>
      <c r="O55" s="90" t="s">
        <v>71</v>
      </c>
      <c r="P55" s="91" t="s">
        <v>72</v>
      </c>
      <c r="Q55"/>
    </row>
    <row r="56" spans="1:23" x14ac:dyDescent="0.4">
      <c r="A56" t="s">
        <v>73</v>
      </c>
      <c r="B56" s="1"/>
      <c r="C56" s="8">
        <v>300</v>
      </c>
      <c r="D56" s="7">
        <v>300</v>
      </c>
      <c r="E56" s="7">
        <v>200</v>
      </c>
      <c r="F56" s="7">
        <v>150</v>
      </c>
      <c r="G56" s="7">
        <f t="shared" ref="G56:M57" si="9">F56*1.03</f>
        <v>154.5</v>
      </c>
      <c r="H56" s="7">
        <f t="shared" si="9"/>
        <v>159.13499999999999</v>
      </c>
      <c r="I56" s="7">
        <f t="shared" si="9"/>
        <v>163.90905000000001</v>
      </c>
      <c r="J56" s="7">
        <f t="shared" si="9"/>
        <v>168.82632150000001</v>
      </c>
      <c r="K56" s="7">
        <f t="shared" si="9"/>
        <v>173.891111145</v>
      </c>
      <c r="L56" s="7">
        <f t="shared" si="9"/>
        <v>179.10784447935001</v>
      </c>
      <c r="M56" s="7">
        <f t="shared" si="9"/>
        <v>184.4810798137305</v>
      </c>
      <c r="N56" s="7">
        <f>M56*1.03^5</f>
        <v>213.86413302692682</v>
      </c>
      <c r="O56" s="7">
        <f>N56*1.03^5</f>
        <v>247.92714484076262</v>
      </c>
      <c r="P56" s="8">
        <f>O56*1.03^8</f>
        <v>314.06668944813214</v>
      </c>
      <c r="Q56"/>
    </row>
    <row r="57" spans="1:23" x14ac:dyDescent="0.4">
      <c r="A57" t="s">
        <v>74</v>
      </c>
      <c r="B57" s="1"/>
      <c r="C57" s="8">
        <f>12*78</f>
        <v>936</v>
      </c>
      <c r="D57" s="7">
        <f>12*78</f>
        <v>936</v>
      </c>
      <c r="E57" s="7">
        <f>D57*1.03</f>
        <v>964.08</v>
      </c>
      <c r="F57" s="7">
        <f>E57*1.03</f>
        <v>993.00240000000008</v>
      </c>
      <c r="G57" s="7">
        <f t="shared" si="9"/>
        <v>1022.7924720000001</v>
      </c>
      <c r="H57" s="7">
        <f t="shared" si="9"/>
        <v>1053.4762461600001</v>
      </c>
      <c r="I57" s="7">
        <f t="shared" si="9"/>
        <v>1085.0805335448001</v>
      </c>
      <c r="J57" s="7">
        <f t="shared" si="9"/>
        <v>1117.6329495511441</v>
      </c>
      <c r="K57" s="7">
        <f t="shared" si="9"/>
        <v>1151.1619380376785</v>
      </c>
      <c r="L57" s="7">
        <f t="shared" si="9"/>
        <v>1185.6967961788089</v>
      </c>
      <c r="M57" s="7">
        <f t="shared" si="9"/>
        <v>1221.2677000641731</v>
      </c>
      <c r="N57" s="7">
        <f>M57*1.03^5</f>
        <v>1415.7839824643843</v>
      </c>
      <c r="O57" s="7">
        <f>N57*1.03^5</f>
        <v>1641.2816656801663</v>
      </c>
      <c r="P57" s="8">
        <f>O57*1.03^8</f>
        <v>2079.1265092136659</v>
      </c>
      <c r="Q57"/>
    </row>
    <row r="58" spans="1:23" x14ac:dyDescent="0.4">
      <c r="A58" t="s">
        <v>75</v>
      </c>
      <c r="B58" s="1"/>
      <c r="C58" s="8"/>
      <c r="D58" s="7"/>
      <c r="E58" s="7"/>
      <c r="F58" s="7"/>
      <c r="G58" s="7"/>
      <c r="H58" s="7"/>
      <c r="I58" s="7"/>
      <c r="J58" s="7"/>
      <c r="K58" s="7"/>
      <c r="L58" s="7"/>
      <c r="M58" s="7"/>
      <c r="N58" s="7">
        <f>M58*1.03^5</f>
        <v>0</v>
      </c>
      <c r="O58" s="7"/>
      <c r="P58" s="8">
        <f>O58*1.03^8</f>
        <v>0</v>
      </c>
      <c r="Q58"/>
    </row>
    <row r="59" spans="1:23" x14ac:dyDescent="0.4">
      <c r="A59" t="s">
        <v>76</v>
      </c>
      <c r="B59" s="1"/>
      <c r="C59" s="8">
        <v>85</v>
      </c>
      <c r="D59" s="7">
        <v>85</v>
      </c>
      <c r="E59" s="7">
        <f t="shared" ref="E59:M59" si="10">D59*1.03</f>
        <v>87.55</v>
      </c>
      <c r="F59" s="7">
        <f t="shared" si="10"/>
        <v>90.176500000000004</v>
      </c>
      <c r="G59" s="7">
        <f t="shared" si="10"/>
        <v>92.881795000000011</v>
      </c>
      <c r="H59" s="7">
        <f t="shared" si="10"/>
        <v>95.668248850000012</v>
      </c>
      <c r="I59" s="7">
        <f t="shared" si="10"/>
        <v>98.53829631550002</v>
      </c>
      <c r="J59" s="7">
        <f t="shared" si="10"/>
        <v>101.49444520496502</v>
      </c>
      <c r="K59" s="7">
        <f t="shared" si="10"/>
        <v>104.53927856111397</v>
      </c>
      <c r="L59" s="7">
        <f t="shared" si="10"/>
        <v>107.6754569179474</v>
      </c>
      <c r="M59" s="7">
        <f t="shared" si="10"/>
        <v>110.90572062548583</v>
      </c>
      <c r="N59" s="7">
        <f>M59*1.03^5</f>
        <v>128.57012661268448</v>
      </c>
      <c r="O59" s="7">
        <f>N59*1.03^5</f>
        <v>149.04801451155356</v>
      </c>
      <c r="P59" s="8">
        <f>O59*1.03^7</f>
        <v>183.31025774122648</v>
      </c>
      <c r="Q59"/>
    </row>
    <row r="60" spans="1:23" x14ac:dyDescent="0.4">
      <c r="A60" t="s">
        <v>77</v>
      </c>
      <c r="B60" s="1" t="s">
        <v>78</v>
      </c>
      <c r="C60" s="8">
        <f>5950*0.4+3027.67+27.22*200</f>
        <v>10851.67</v>
      </c>
      <c r="D60" s="7">
        <f>5950*0.4+3027.67+27.22*200</f>
        <v>10851.67</v>
      </c>
      <c r="E60" s="10">
        <f>(5950*0.4+3027.67+27.22*180)*1.03</f>
        <v>10616.4881</v>
      </c>
      <c r="F60" s="7">
        <f t="shared" ref="F60:M60" si="11">E60*1.03</f>
        <v>10934.982743</v>
      </c>
      <c r="G60" s="7">
        <f t="shared" si="11"/>
        <v>11263.03222529</v>
      </c>
      <c r="H60" s="7">
        <f t="shared" si="11"/>
        <v>11600.9231920487</v>
      </c>
      <c r="I60" s="7">
        <f t="shared" si="11"/>
        <v>11948.950887810161</v>
      </c>
      <c r="J60" s="7">
        <f t="shared" si="11"/>
        <v>12307.419414444466</v>
      </c>
      <c r="K60" s="7">
        <f t="shared" si="11"/>
        <v>12676.641996877801</v>
      </c>
      <c r="L60" s="7">
        <f t="shared" si="11"/>
        <v>13056.941256784135</v>
      </c>
      <c r="M60" s="7">
        <f t="shared" si="11"/>
        <v>13448.649494487659</v>
      </c>
      <c r="N60" s="7">
        <f>M60*1.03^5</f>
        <v>15590.670693307342</v>
      </c>
      <c r="O60" s="7">
        <f>N60*1.03^5</f>
        <v>18073.860335700007</v>
      </c>
      <c r="P60" s="8">
        <f>O60*1.03^7</f>
        <v>22228.568474216605</v>
      </c>
      <c r="Q60"/>
    </row>
    <row r="61" spans="1:23" x14ac:dyDescent="0.4">
      <c r="A61" t="s">
        <v>79</v>
      </c>
      <c r="B61" s="1" t="s">
        <v>209</v>
      </c>
      <c r="C61" s="203">
        <v>133.80000000000001</v>
      </c>
      <c r="D61" s="109">
        <v>133.80000000000001</v>
      </c>
      <c r="E61" s="109">
        <v>127.4</v>
      </c>
      <c r="F61" s="109">
        <v>121</v>
      </c>
      <c r="G61" s="109">
        <v>114.6</v>
      </c>
      <c r="H61" s="109">
        <v>108.19999999999999</v>
      </c>
      <c r="I61" s="109">
        <v>101.8</v>
      </c>
      <c r="J61" s="109">
        <v>95.4</v>
      </c>
      <c r="K61" s="109">
        <v>89</v>
      </c>
      <c r="L61" s="109">
        <v>86</v>
      </c>
      <c r="M61" s="109">
        <v>83</v>
      </c>
      <c r="N61" s="109">
        <v>68</v>
      </c>
      <c r="O61" s="109">
        <v>56.2</v>
      </c>
      <c r="P61" s="108">
        <v>45</v>
      </c>
      <c r="Q61"/>
    </row>
    <row r="62" spans="1:23" x14ac:dyDescent="0.4">
      <c r="A62" t="s">
        <v>80</v>
      </c>
      <c r="B62" s="1" t="s">
        <v>210</v>
      </c>
      <c r="C62" s="8">
        <v>38.1</v>
      </c>
      <c r="D62" s="7">
        <f>C62</f>
        <v>38.1</v>
      </c>
      <c r="E62" s="7">
        <f>D62*0.97</f>
        <v>36.957000000000001</v>
      </c>
      <c r="F62" s="7">
        <f t="shared" ref="F62:M62" si="12">E62*0.97</f>
        <v>35.848289999999999</v>
      </c>
      <c r="G62" s="7">
        <f t="shared" si="12"/>
        <v>34.772841299999996</v>
      </c>
      <c r="H62" s="7">
        <f t="shared" si="12"/>
        <v>33.729656060999993</v>
      </c>
      <c r="I62" s="7">
        <f t="shared" si="12"/>
        <v>32.717766379169994</v>
      </c>
      <c r="J62" s="7">
        <f t="shared" si="12"/>
        <v>31.736233387794893</v>
      </c>
      <c r="K62" s="7">
        <f t="shared" si="12"/>
        <v>30.784146386161044</v>
      </c>
      <c r="L62" s="7">
        <f t="shared" si="12"/>
        <v>29.860621994576213</v>
      </c>
      <c r="M62" s="7">
        <f t="shared" si="12"/>
        <v>28.964803334738928</v>
      </c>
      <c r="N62" s="7">
        <f>M62*0.97^5</f>
        <v>24.873062171249142</v>
      </c>
      <c r="O62" s="7">
        <f>N62*0.97^5</f>
        <v>21.359344809803154</v>
      </c>
      <c r="P62" s="8">
        <f>O62*0.97^8</f>
        <v>16.74024465662324</v>
      </c>
      <c r="Q62"/>
    </row>
    <row r="63" spans="1:23" x14ac:dyDescent="0.4">
      <c r="A63" t="s">
        <v>81</v>
      </c>
      <c r="C63" s="8">
        <v>79889</v>
      </c>
      <c r="D63" s="7">
        <v>79889</v>
      </c>
      <c r="E63" s="153">
        <v>75270</v>
      </c>
      <c r="F63" s="7">
        <v>75270</v>
      </c>
      <c r="G63" s="7">
        <v>75270</v>
      </c>
      <c r="H63" s="7">
        <v>75270</v>
      </c>
      <c r="I63" s="7">
        <v>75270</v>
      </c>
      <c r="J63" s="7">
        <v>75270</v>
      </c>
      <c r="K63" s="7">
        <v>75270</v>
      </c>
      <c r="L63" s="7">
        <v>75270</v>
      </c>
      <c r="M63" s="7">
        <v>75270</v>
      </c>
      <c r="N63" s="7">
        <v>75270</v>
      </c>
      <c r="O63" s="7">
        <v>75270</v>
      </c>
      <c r="P63" s="8">
        <v>75270</v>
      </c>
      <c r="Q63"/>
    </row>
    <row r="64" spans="1:23" x14ac:dyDescent="0.4">
      <c r="A64" t="s">
        <v>103</v>
      </c>
      <c r="C64" s="8">
        <v>713981</v>
      </c>
      <c r="D64" s="7">
        <v>713981</v>
      </c>
      <c r="E64" s="153">
        <v>552368</v>
      </c>
      <c r="F64" s="7">
        <v>552368</v>
      </c>
      <c r="G64" s="7">
        <v>552368</v>
      </c>
      <c r="H64" s="7">
        <v>552368</v>
      </c>
      <c r="I64" s="7">
        <v>552368</v>
      </c>
      <c r="J64" s="7">
        <v>552368</v>
      </c>
      <c r="K64" s="7">
        <v>552368</v>
      </c>
      <c r="L64" s="7">
        <v>552368</v>
      </c>
      <c r="M64" s="7">
        <v>552368</v>
      </c>
      <c r="N64" s="7">
        <v>552368</v>
      </c>
      <c r="O64" s="153">
        <v>421948</v>
      </c>
      <c r="P64" s="8">
        <v>421948</v>
      </c>
      <c r="Q64"/>
    </row>
    <row r="65" spans="1:17" x14ac:dyDescent="0.4">
      <c r="E65" s="87" t="s">
        <v>89</v>
      </c>
    </row>
    <row r="66" spans="1:17" x14ac:dyDescent="0.4">
      <c r="A66" s="49" t="s">
        <v>104</v>
      </c>
      <c r="B66" s="49"/>
    </row>
    <row r="67" spans="1:17" ht="15" thickBot="1" x14ac:dyDescent="0.45">
      <c r="A67" s="49" t="s">
        <v>105</v>
      </c>
      <c r="B67" s="49"/>
    </row>
    <row r="68" spans="1:17" s="43" customFormat="1" ht="15" thickTop="1" x14ac:dyDescent="0.4">
      <c r="J68" s="140"/>
      <c r="Q68" s="47"/>
    </row>
    <row r="71" spans="1:17" x14ac:dyDescent="0.4">
      <c r="I71" s="3"/>
    </row>
    <row r="75" spans="1:17" x14ac:dyDescent="0.4">
      <c r="I75" s="3"/>
    </row>
    <row r="76" spans="1:17" x14ac:dyDescent="0.4">
      <c r="I76" s="3"/>
    </row>
  </sheetData>
  <mergeCells count="34">
    <mergeCell ref="A50:C50"/>
    <mergeCell ref="A51:C51"/>
    <mergeCell ref="A52:C52"/>
    <mergeCell ref="B53:Q53"/>
    <mergeCell ref="B27:C27"/>
    <mergeCell ref="B28:C28"/>
    <mergeCell ref="B29:C29"/>
    <mergeCell ref="B30:C30"/>
    <mergeCell ref="B31:C31"/>
    <mergeCell ref="B32:C32"/>
    <mergeCell ref="B26:C26"/>
    <mergeCell ref="B15:C15"/>
    <mergeCell ref="B16:C16"/>
    <mergeCell ref="B17:C17"/>
    <mergeCell ref="B18:C18"/>
    <mergeCell ref="B19:C19"/>
    <mergeCell ref="B20:C20"/>
    <mergeCell ref="B21:C21"/>
    <mergeCell ref="B22:C22"/>
    <mergeCell ref="B23:C23"/>
    <mergeCell ref="B24:C24"/>
    <mergeCell ref="B25:C25"/>
    <mergeCell ref="B14:C14"/>
    <mergeCell ref="D3:N3"/>
    <mergeCell ref="B5:C5"/>
    <mergeCell ref="B6:C6"/>
    <mergeCell ref="B7:C7"/>
    <mergeCell ref="B8:C8"/>
    <mergeCell ref="B9:C9"/>
    <mergeCell ref="B10:C10"/>
    <mergeCell ref="B11:C11"/>
    <mergeCell ref="B12:C12"/>
    <mergeCell ref="B13:C13"/>
    <mergeCell ref="D4:P4"/>
  </mergeCells>
  <pageMargins left="0.7" right="0.7" top="0.75" bottom="0.75" header="0.3" footer="0.3"/>
  <pageSetup paperSize="9" scale="46"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40BE-043F-497F-8607-E83ADB5F742D}">
  <dimension ref="A1:J64"/>
  <sheetViews>
    <sheetView workbookViewId="0"/>
  </sheetViews>
  <sheetFormatPr defaultRowHeight="14.6" x14ac:dyDescent="0.4"/>
  <cols>
    <col min="1" max="1" width="43" customWidth="1"/>
    <col min="2" max="2" width="21.84375" customWidth="1"/>
    <col min="3" max="3" width="11.23046875" customWidth="1"/>
    <col min="7" max="7" width="25.69140625" customWidth="1"/>
    <col min="8" max="8" width="17.84375" customWidth="1"/>
  </cols>
  <sheetData>
    <row r="1" spans="1:10" x14ac:dyDescent="0.4">
      <c r="A1" s="1" t="s">
        <v>180</v>
      </c>
    </row>
    <row r="2" spans="1:10" x14ac:dyDescent="0.4">
      <c r="A2" s="3" t="s">
        <v>184</v>
      </c>
    </row>
    <row r="3" spans="1:10" x14ac:dyDescent="0.4">
      <c r="A3" s="3" t="s">
        <v>182</v>
      </c>
    </row>
    <row r="4" spans="1:10" x14ac:dyDescent="0.4">
      <c r="A4" t="s">
        <v>183</v>
      </c>
    </row>
    <row r="5" spans="1:10" x14ac:dyDescent="0.4">
      <c r="A5" t="s">
        <v>112</v>
      </c>
    </row>
    <row r="6" spans="1:10" x14ac:dyDescent="0.4">
      <c r="A6" t="s">
        <v>181</v>
      </c>
    </row>
    <row r="7" spans="1:10" x14ac:dyDescent="0.4">
      <c r="A7" s="3" t="s">
        <v>114</v>
      </c>
    </row>
    <row r="9" spans="1:10" x14ac:dyDescent="0.4">
      <c r="A9" s="1" t="s">
        <v>185</v>
      </c>
    </row>
    <row r="10" spans="1:10" x14ac:dyDescent="0.4">
      <c r="B10" s="253" t="s">
        <v>109</v>
      </c>
      <c r="C10" s="253"/>
      <c r="G10" s="1" t="s">
        <v>110</v>
      </c>
    </row>
    <row r="11" spans="1:10" x14ac:dyDescent="0.4">
      <c r="A11" t="s">
        <v>111</v>
      </c>
      <c r="B11">
        <v>5950</v>
      </c>
      <c r="C11" t="s">
        <v>151</v>
      </c>
      <c r="G11">
        <v>5950</v>
      </c>
      <c r="H11" t="s">
        <v>151</v>
      </c>
    </row>
    <row r="12" spans="1:10" x14ac:dyDescent="0.4">
      <c r="A12" t="s">
        <v>113</v>
      </c>
      <c r="B12">
        <v>2109</v>
      </c>
      <c r="C12" t="s">
        <v>148</v>
      </c>
      <c r="D12" t="s">
        <v>150</v>
      </c>
      <c r="G12">
        <v>2109</v>
      </c>
      <c r="H12" t="s">
        <v>148</v>
      </c>
      <c r="I12" t="s">
        <v>150</v>
      </c>
    </row>
    <row r="13" spans="1:10" x14ac:dyDescent="0.4">
      <c r="A13" t="s">
        <v>141</v>
      </c>
      <c r="B13">
        <v>1099</v>
      </c>
      <c r="C13" t="s">
        <v>148</v>
      </c>
      <c r="D13">
        <v>0.81</v>
      </c>
      <c r="E13" t="s">
        <v>149</v>
      </c>
      <c r="G13">
        <v>1099</v>
      </c>
      <c r="H13" t="s">
        <v>148</v>
      </c>
      <c r="I13">
        <v>0.28000000000000003</v>
      </c>
      <c r="J13" t="s">
        <v>149</v>
      </c>
    </row>
    <row r="14" spans="1:10" x14ac:dyDescent="0.4">
      <c r="A14" t="s">
        <v>21</v>
      </c>
      <c r="B14">
        <v>476.6</v>
      </c>
      <c r="C14" t="s">
        <v>148</v>
      </c>
      <c r="D14">
        <v>0.47</v>
      </c>
      <c r="E14" t="s">
        <v>149</v>
      </c>
      <c r="G14">
        <v>476.6</v>
      </c>
      <c r="H14" t="s">
        <v>148</v>
      </c>
      <c r="I14">
        <v>0.09</v>
      </c>
      <c r="J14" t="s">
        <v>149</v>
      </c>
    </row>
    <row r="15" spans="1:10" x14ac:dyDescent="0.4">
      <c r="A15" t="s">
        <v>142</v>
      </c>
      <c r="B15">
        <v>476.6</v>
      </c>
      <c r="C15" t="s">
        <v>148</v>
      </c>
      <c r="D15">
        <v>0.47</v>
      </c>
      <c r="E15" t="s">
        <v>149</v>
      </c>
      <c r="G15">
        <v>476.6</v>
      </c>
      <c r="H15" t="s">
        <v>148</v>
      </c>
      <c r="I15">
        <v>0.47</v>
      </c>
      <c r="J15" t="s">
        <v>149</v>
      </c>
    </row>
    <row r="16" spans="1:10" x14ac:dyDescent="0.4">
      <c r="A16" t="s">
        <v>143</v>
      </c>
      <c r="B16">
        <v>28.4</v>
      </c>
      <c r="C16" t="s">
        <v>148</v>
      </c>
      <c r="D16">
        <v>2.1</v>
      </c>
      <c r="E16" t="s">
        <v>149</v>
      </c>
      <c r="G16">
        <v>28.4</v>
      </c>
      <c r="H16" t="s">
        <v>148</v>
      </c>
      <c r="I16">
        <v>0.8</v>
      </c>
      <c r="J16" t="s">
        <v>149</v>
      </c>
    </row>
    <row r="17" spans="1:10" x14ac:dyDescent="0.4">
      <c r="A17" t="s">
        <v>144</v>
      </c>
      <c r="B17">
        <v>126.6</v>
      </c>
      <c r="C17" t="s">
        <v>148</v>
      </c>
      <c r="D17">
        <v>2.1</v>
      </c>
      <c r="E17" t="s">
        <v>149</v>
      </c>
      <c r="G17">
        <v>126.6</v>
      </c>
      <c r="H17" t="s">
        <v>148</v>
      </c>
      <c r="I17">
        <v>0.8</v>
      </c>
      <c r="J17" t="s">
        <v>149</v>
      </c>
    </row>
    <row r="18" spans="1:10" x14ac:dyDescent="0.4">
      <c r="A18" t="s">
        <v>145</v>
      </c>
      <c r="B18">
        <v>28.4</v>
      </c>
      <c r="C18" t="s">
        <v>148</v>
      </c>
      <c r="D18">
        <v>2.1</v>
      </c>
      <c r="E18" t="s">
        <v>149</v>
      </c>
      <c r="G18">
        <v>28.4</v>
      </c>
      <c r="H18" t="s">
        <v>148</v>
      </c>
      <c r="I18">
        <v>0.8</v>
      </c>
      <c r="J18" t="s">
        <v>149</v>
      </c>
    </row>
    <row r="19" spans="1:10" x14ac:dyDescent="0.4">
      <c r="A19" t="s">
        <v>146</v>
      </c>
      <c r="B19">
        <v>122</v>
      </c>
      <c r="C19" t="s">
        <v>148</v>
      </c>
      <c r="D19">
        <v>2.1</v>
      </c>
      <c r="E19" t="s">
        <v>149</v>
      </c>
      <c r="G19">
        <v>122</v>
      </c>
      <c r="H19" t="s">
        <v>148</v>
      </c>
      <c r="I19">
        <v>0.8</v>
      </c>
      <c r="J19" t="s">
        <v>149</v>
      </c>
    </row>
    <row r="20" spans="1:10" x14ac:dyDescent="0.4">
      <c r="A20" t="s">
        <v>147</v>
      </c>
      <c r="B20">
        <v>66</v>
      </c>
      <c r="C20" t="s">
        <v>148</v>
      </c>
      <c r="D20">
        <v>1.4</v>
      </c>
      <c r="E20" t="s">
        <v>149</v>
      </c>
      <c r="G20">
        <v>66</v>
      </c>
      <c r="H20" t="s">
        <v>148</v>
      </c>
      <c r="I20">
        <v>0.8</v>
      </c>
      <c r="J20" t="s">
        <v>149</v>
      </c>
    </row>
    <row r="22" spans="1:10" x14ac:dyDescent="0.4">
      <c r="A22" t="s">
        <v>152</v>
      </c>
      <c r="B22">
        <v>6</v>
      </c>
      <c r="C22" t="s">
        <v>166</v>
      </c>
      <c r="G22">
        <v>1.8</v>
      </c>
      <c r="H22" t="s">
        <v>153</v>
      </c>
    </row>
    <row r="23" spans="1:10" x14ac:dyDescent="0.4">
      <c r="A23" t="s">
        <v>154</v>
      </c>
      <c r="B23">
        <v>1.5</v>
      </c>
      <c r="C23" t="s">
        <v>155</v>
      </c>
      <c r="G23">
        <v>0.8</v>
      </c>
      <c r="H23" t="s">
        <v>155</v>
      </c>
    </row>
    <row r="24" spans="1:10" x14ac:dyDescent="0.4">
      <c r="A24" t="s">
        <v>188</v>
      </c>
      <c r="B24" t="s">
        <v>189</v>
      </c>
      <c r="G24" t="s">
        <v>187</v>
      </c>
    </row>
    <row r="25" spans="1:10" x14ac:dyDescent="0.4">
      <c r="A25" t="s">
        <v>186</v>
      </c>
      <c r="B25" t="s">
        <v>165</v>
      </c>
      <c r="G25" t="s">
        <v>165</v>
      </c>
    </row>
    <row r="26" spans="1:10" x14ac:dyDescent="0.4">
      <c r="A26" t="s">
        <v>156</v>
      </c>
      <c r="B26" t="s">
        <v>158</v>
      </c>
      <c r="C26" t="s">
        <v>157</v>
      </c>
      <c r="G26" t="s">
        <v>158</v>
      </c>
      <c r="H26" t="s">
        <v>157</v>
      </c>
    </row>
    <row r="27" spans="1:10" x14ac:dyDescent="0.4">
      <c r="A27" t="s">
        <v>159</v>
      </c>
      <c r="B27">
        <v>0.5</v>
      </c>
      <c r="C27" t="s">
        <v>160</v>
      </c>
      <c r="G27">
        <v>0.5</v>
      </c>
      <c r="H27" t="s">
        <v>160</v>
      </c>
    </row>
    <row r="28" spans="1:10" x14ac:dyDescent="0.4">
      <c r="A28" t="s">
        <v>121</v>
      </c>
      <c r="B28" t="s">
        <v>165</v>
      </c>
      <c r="G28" t="s">
        <v>169</v>
      </c>
    </row>
    <row r="29" spans="1:10" x14ac:dyDescent="0.4">
      <c r="A29" t="s">
        <v>161</v>
      </c>
      <c r="B29">
        <v>0.8</v>
      </c>
      <c r="G29">
        <v>0.9</v>
      </c>
    </row>
    <row r="30" spans="1:10" x14ac:dyDescent="0.4">
      <c r="A30" t="s">
        <v>162</v>
      </c>
      <c r="B30">
        <v>2</v>
      </c>
      <c r="C30" t="s">
        <v>163</v>
      </c>
      <c r="G30">
        <v>2</v>
      </c>
      <c r="H30" t="s">
        <v>163</v>
      </c>
    </row>
    <row r="31" spans="1:10" x14ac:dyDescent="0.4">
      <c r="A31" t="s">
        <v>164</v>
      </c>
      <c r="B31" t="s">
        <v>115</v>
      </c>
      <c r="G31" t="s">
        <v>115</v>
      </c>
    </row>
    <row r="32" spans="1:10" x14ac:dyDescent="0.4">
      <c r="A32" t="s">
        <v>167</v>
      </c>
      <c r="B32" t="s">
        <v>168</v>
      </c>
      <c r="G32" t="s">
        <v>168</v>
      </c>
    </row>
    <row r="33" spans="1:9" x14ac:dyDescent="0.4">
      <c r="A33" t="s">
        <v>170</v>
      </c>
      <c r="B33" t="s">
        <v>165</v>
      </c>
      <c r="G33">
        <v>500</v>
      </c>
      <c r="H33" t="s">
        <v>172</v>
      </c>
    </row>
    <row r="34" spans="1:9" x14ac:dyDescent="0.4">
      <c r="A34" t="s">
        <v>171</v>
      </c>
      <c r="B34" t="s">
        <v>165</v>
      </c>
      <c r="G34">
        <v>100</v>
      </c>
      <c r="H34" t="s">
        <v>173</v>
      </c>
    </row>
    <row r="35" spans="1:9" x14ac:dyDescent="0.4">
      <c r="A35" t="s">
        <v>174</v>
      </c>
      <c r="B35" t="s">
        <v>165</v>
      </c>
      <c r="G35">
        <v>1000</v>
      </c>
      <c r="H35" t="s">
        <v>172</v>
      </c>
    </row>
    <row r="36" spans="1:9" x14ac:dyDescent="0.4">
      <c r="A36" t="s">
        <v>175</v>
      </c>
      <c r="B36" t="s">
        <v>165</v>
      </c>
      <c r="G36">
        <v>100</v>
      </c>
      <c r="H36" t="s">
        <v>173</v>
      </c>
    </row>
    <row r="37" spans="1:9" x14ac:dyDescent="0.4">
      <c r="A37" t="s">
        <v>176</v>
      </c>
      <c r="B37" t="s">
        <v>165</v>
      </c>
      <c r="G37" t="s">
        <v>177</v>
      </c>
    </row>
    <row r="38" spans="1:9" x14ac:dyDescent="0.4">
      <c r="A38" t="s">
        <v>178</v>
      </c>
      <c r="B38" t="s">
        <v>165</v>
      </c>
      <c r="G38" s="192">
        <v>14.9</v>
      </c>
      <c r="H38" s="193" t="s">
        <v>179</v>
      </c>
    </row>
    <row r="42" spans="1:9" x14ac:dyDescent="0.4">
      <c r="A42" s="3" t="s">
        <v>116</v>
      </c>
      <c r="B42" s="3">
        <v>215</v>
      </c>
      <c r="C42" t="s">
        <v>191</v>
      </c>
      <c r="G42" s="3">
        <v>75</v>
      </c>
      <c r="H42" t="s">
        <v>191</v>
      </c>
    </row>
    <row r="43" spans="1:9" x14ac:dyDescent="0.4">
      <c r="A43" t="s">
        <v>190</v>
      </c>
      <c r="B43" s="5" t="s">
        <v>117</v>
      </c>
      <c r="G43" s="5" t="s">
        <v>118</v>
      </c>
    </row>
    <row r="45" spans="1:9" x14ac:dyDescent="0.4">
      <c r="G45" s="4"/>
    </row>
    <row r="46" spans="1:9" x14ac:dyDescent="0.4">
      <c r="A46" s="88"/>
      <c r="I46" s="88"/>
    </row>
    <row r="49" spans="1:9" ht="45.75" customHeight="1" x14ac:dyDescent="0.4">
      <c r="A49" s="190"/>
      <c r="B49" s="263"/>
      <c r="C49" s="263"/>
      <c r="D49" s="263"/>
      <c r="E49" s="263"/>
      <c r="H49" s="5"/>
    </row>
    <row r="50" spans="1:9" x14ac:dyDescent="0.4">
      <c r="A50" s="5"/>
      <c r="H50" s="5"/>
    </row>
    <row r="51" spans="1:9" x14ac:dyDescent="0.4">
      <c r="A51" s="5"/>
      <c r="H51" s="5"/>
    </row>
    <row r="52" spans="1:9" ht="15" customHeight="1" x14ac:dyDescent="0.4">
      <c r="G52" s="5"/>
      <c r="H52" s="5"/>
    </row>
    <row r="53" spans="1:9" ht="15" customHeight="1" x14ac:dyDescent="0.4">
      <c r="G53" s="5"/>
      <c r="H53" s="5"/>
    </row>
    <row r="54" spans="1:9" x14ac:dyDescent="0.4">
      <c r="G54" s="5"/>
      <c r="H54" s="5"/>
    </row>
    <row r="55" spans="1:9" x14ac:dyDescent="0.4">
      <c r="G55" s="5"/>
      <c r="H55" s="5"/>
    </row>
    <row r="56" spans="1:9" ht="15" customHeight="1" x14ac:dyDescent="0.4">
      <c r="H56" s="5"/>
    </row>
    <row r="57" spans="1:9" x14ac:dyDescent="0.4">
      <c r="G57" s="5"/>
      <c r="H57" s="5"/>
    </row>
    <row r="58" spans="1:9" ht="15" customHeight="1" x14ac:dyDescent="0.4">
      <c r="A58" s="5"/>
      <c r="H58" s="5"/>
    </row>
    <row r="59" spans="1:9" x14ac:dyDescent="0.4">
      <c r="H59" s="5"/>
    </row>
    <row r="60" spans="1:9" x14ac:dyDescent="0.4">
      <c r="H60" s="5"/>
      <c r="I60" s="3"/>
    </row>
    <row r="61" spans="1:9" x14ac:dyDescent="0.4">
      <c r="G61" s="5"/>
      <c r="H61" s="5"/>
    </row>
    <row r="62" spans="1:9" x14ac:dyDescent="0.4">
      <c r="G62" s="5"/>
      <c r="H62" s="5"/>
    </row>
    <row r="63" spans="1:9" x14ac:dyDescent="0.4">
      <c r="G63" s="5"/>
      <c r="H63" s="5"/>
    </row>
    <row r="64" spans="1:9" x14ac:dyDescent="0.4">
      <c r="G64" s="5"/>
      <c r="H64" s="5"/>
    </row>
  </sheetData>
  <mergeCells count="2">
    <mergeCell ref="B10:C10"/>
    <mergeCell ref="B49:E4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4362-46DE-40DF-AF07-F661A49FF4B0}">
  <dimension ref="A1:I19"/>
  <sheetViews>
    <sheetView workbookViewId="0">
      <selection activeCell="B9" sqref="B9"/>
    </sheetView>
  </sheetViews>
  <sheetFormatPr defaultRowHeight="14.6" x14ac:dyDescent="0.4"/>
  <cols>
    <col min="1" max="1" width="21.69140625" customWidth="1"/>
    <col min="2" max="2" width="64.4609375" customWidth="1"/>
    <col min="3" max="3" width="11.23046875" customWidth="1"/>
    <col min="4" max="4" width="13.4609375" customWidth="1"/>
    <col min="7" max="7" width="25.69140625" customWidth="1"/>
    <col min="8" max="8" width="17.84375" customWidth="1"/>
  </cols>
  <sheetData>
    <row r="1" spans="1:9" x14ac:dyDescent="0.4">
      <c r="A1" s="1" t="s">
        <v>192</v>
      </c>
      <c r="I1" s="88"/>
    </row>
    <row r="2" spans="1:9" x14ac:dyDescent="0.4">
      <c r="A2" s="1"/>
      <c r="I2" s="88"/>
    </row>
    <row r="3" spans="1:9" x14ac:dyDescent="0.4">
      <c r="A3" s="1" t="s">
        <v>204</v>
      </c>
      <c r="B3" s="1" t="s">
        <v>203</v>
      </c>
      <c r="C3" s="1" t="s">
        <v>119</v>
      </c>
      <c r="D3" s="1" t="s">
        <v>190</v>
      </c>
    </row>
    <row r="4" spans="1:9" ht="45.75" customHeight="1" x14ac:dyDescent="0.4">
      <c r="A4" s="190">
        <v>2024</v>
      </c>
      <c r="B4" s="191" t="s">
        <v>193</v>
      </c>
      <c r="C4">
        <v>114</v>
      </c>
      <c r="D4" t="s">
        <v>120</v>
      </c>
      <c r="E4" s="191"/>
      <c r="H4" s="5"/>
    </row>
    <row r="5" spans="1:9" x14ac:dyDescent="0.4">
      <c r="A5" s="5"/>
      <c r="B5" s="191" t="s">
        <v>194</v>
      </c>
      <c r="H5" s="5"/>
    </row>
    <row r="6" spans="1:9" ht="43.75" x14ac:dyDescent="0.4">
      <c r="A6" s="5"/>
      <c r="B6" s="191" t="s">
        <v>205</v>
      </c>
      <c r="H6" s="5"/>
    </row>
    <row r="7" spans="1:9" ht="15" customHeight="1" x14ac:dyDescent="0.4">
      <c r="B7" s="191" t="s">
        <v>195</v>
      </c>
      <c r="D7" s="5"/>
      <c r="H7" s="5"/>
    </row>
    <row r="8" spans="1:9" ht="15" customHeight="1" x14ac:dyDescent="0.4">
      <c r="B8" s="191" t="s">
        <v>196</v>
      </c>
      <c r="D8" s="5"/>
      <c r="H8" s="5"/>
    </row>
    <row r="9" spans="1:9" x14ac:dyDescent="0.4">
      <c r="B9" s="191" t="s">
        <v>197</v>
      </c>
      <c r="D9" s="5"/>
      <c r="H9" s="5"/>
    </row>
    <row r="10" spans="1:9" x14ac:dyDescent="0.4">
      <c r="B10" s="191" t="s">
        <v>201</v>
      </c>
      <c r="D10" s="5"/>
      <c r="H10" s="5"/>
    </row>
    <row r="11" spans="1:9" ht="15" customHeight="1" x14ac:dyDescent="0.4">
      <c r="B11" s="191"/>
      <c r="H11" s="5"/>
    </row>
    <row r="12" spans="1:9" x14ac:dyDescent="0.4">
      <c r="A12" s="5">
        <v>2038</v>
      </c>
      <c r="B12" s="191" t="s">
        <v>198</v>
      </c>
      <c r="C12">
        <v>75</v>
      </c>
      <c r="D12" t="s">
        <v>118</v>
      </c>
      <c r="H12" s="5"/>
    </row>
    <row r="13" spans="1:9" ht="29.15" x14ac:dyDescent="0.4">
      <c r="B13" s="191" t="s">
        <v>206</v>
      </c>
      <c r="H13" s="5"/>
    </row>
    <row r="14" spans="1:9" x14ac:dyDescent="0.4">
      <c r="B14" s="191" t="s">
        <v>202</v>
      </c>
      <c r="H14" s="5"/>
    </row>
    <row r="15" spans="1:9" x14ac:dyDescent="0.4">
      <c r="B15" s="191"/>
      <c r="H15" s="5"/>
      <c r="I15" s="3"/>
    </row>
    <row r="16" spans="1:9" x14ac:dyDescent="0.4">
      <c r="G16" s="5"/>
      <c r="H16" s="5"/>
    </row>
    <row r="17" spans="7:8" x14ac:dyDescent="0.4">
      <c r="G17" s="5"/>
      <c r="H17" s="5"/>
    </row>
    <row r="18" spans="7:8" x14ac:dyDescent="0.4">
      <c r="G18" s="5"/>
      <c r="H18" s="5"/>
    </row>
    <row r="19" spans="7:8" x14ac:dyDescent="0.4">
      <c r="G19" s="5"/>
      <c r="H19" s="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B3AFD-FDAF-49E1-B868-4EAF2418D6E0}">
  <dimension ref="A1:I48"/>
  <sheetViews>
    <sheetView workbookViewId="0"/>
  </sheetViews>
  <sheetFormatPr defaultRowHeight="14.6" x14ac:dyDescent="0.4"/>
  <cols>
    <col min="1" max="1" width="59.4609375" customWidth="1"/>
    <col min="2" max="2" width="14.4609375" customWidth="1"/>
    <col min="3" max="3" width="7.69140625" customWidth="1"/>
    <col min="4" max="4" width="7" customWidth="1"/>
    <col min="5" max="5" width="7.53515625" customWidth="1"/>
    <col min="6" max="6" width="7" customWidth="1"/>
    <col min="7" max="7" width="9.07421875" customWidth="1"/>
  </cols>
  <sheetData>
    <row r="1" spans="1:9" x14ac:dyDescent="0.4">
      <c r="A1" s="1" t="s">
        <v>200</v>
      </c>
    </row>
    <row r="2" spans="1:9" x14ac:dyDescent="0.4">
      <c r="A2" s="264" t="s">
        <v>122</v>
      </c>
      <c r="B2" s="264"/>
      <c r="C2" s="264"/>
      <c r="D2" s="264"/>
      <c r="E2" s="264"/>
      <c r="F2" s="264"/>
      <c r="G2" s="264"/>
      <c r="H2" t="s">
        <v>123</v>
      </c>
    </row>
    <row r="3" spans="1:9" x14ac:dyDescent="0.4">
      <c r="A3" t="s">
        <v>124</v>
      </c>
      <c r="B3" s="265"/>
      <c r="C3" s="265"/>
      <c r="D3" s="265"/>
      <c r="E3" s="265"/>
      <c r="F3" s="265"/>
      <c r="G3" s="265"/>
      <c r="H3" t="s">
        <v>125</v>
      </c>
      <c r="I3" t="s">
        <v>212</v>
      </c>
    </row>
    <row r="4" spans="1:9" x14ac:dyDescent="0.4">
      <c r="A4" t="s">
        <v>126</v>
      </c>
      <c r="B4" s="265"/>
      <c r="C4" s="265"/>
      <c r="D4" s="265"/>
      <c r="E4" s="265"/>
      <c r="F4" s="265"/>
      <c r="G4" s="265"/>
      <c r="I4" t="s">
        <v>211</v>
      </c>
    </row>
    <row r="5" spans="1:9" x14ac:dyDescent="0.4">
      <c r="A5" t="s">
        <v>127</v>
      </c>
      <c r="B5" s="265"/>
      <c r="C5" s="265"/>
      <c r="D5" s="265"/>
      <c r="E5" s="265"/>
      <c r="F5" s="265"/>
      <c r="G5" s="265"/>
    </row>
    <row r="6" spans="1:9" x14ac:dyDescent="0.4">
      <c r="A6" t="s">
        <v>128</v>
      </c>
      <c r="B6" s="265"/>
      <c r="C6" s="265"/>
      <c r="D6" s="265"/>
      <c r="E6" s="265"/>
      <c r="F6" s="265"/>
      <c r="G6" s="265"/>
    </row>
    <row r="7" spans="1:9" x14ac:dyDescent="0.4">
      <c r="A7" t="s">
        <v>129</v>
      </c>
      <c r="B7" s="210"/>
      <c r="C7" s="210"/>
      <c r="D7" s="210"/>
      <c r="E7" s="210"/>
      <c r="F7" s="210"/>
      <c r="G7" s="210"/>
    </row>
    <row r="8" spans="1:9" x14ac:dyDescent="0.4">
      <c r="A8" s="265"/>
      <c r="B8" s="265"/>
      <c r="C8" s="265"/>
      <c r="D8" s="265"/>
      <c r="E8" s="265"/>
      <c r="F8" s="265"/>
      <c r="G8" s="265"/>
    </row>
    <row r="9" spans="1:9" ht="15" thickBot="1" x14ac:dyDescent="0.45">
      <c r="A9" s="266" t="s">
        <v>130</v>
      </c>
      <c r="B9" s="267"/>
      <c r="C9" s="76">
        <v>2023</v>
      </c>
      <c r="D9" s="77">
        <v>2024</v>
      </c>
      <c r="E9" s="77">
        <v>2025</v>
      </c>
      <c r="F9" s="77">
        <v>2026</v>
      </c>
      <c r="G9" s="77">
        <v>2027</v>
      </c>
      <c r="H9" s="155"/>
    </row>
    <row r="10" spans="1:9" ht="15" thickBot="1" x14ac:dyDescent="0.45">
      <c r="A10" s="268" t="s">
        <v>7</v>
      </c>
      <c r="B10" s="269"/>
      <c r="C10" s="27"/>
      <c r="D10" s="28"/>
      <c r="E10" s="28"/>
      <c r="F10" s="28"/>
      <c r="G10" s="28"/>
    </row>
    <row r="11" spans="1:9" x14ac:dyDescent="0.4">
      <c r="A11" s="216" t="s">
        <v>9</v>
      </c>
      <c r="B11" s="217"/>
      <c r="C11" s="50"/>
      <c r="D11" s="51"/>
      <c r="E11" s="51"/>
      <c r="F11" s="52">
        <v>12</v>
      </c>
      <c r="G11" s="52"/>
    </row>
    <row r="12" spans="1:9" x14ac:dyDescent="0.4">
      <c r="A12" s="211" t="s">
        <v>11</v>
      </c>
      <c r="B12" s="212"/>
      <c r="C12" s="55"/>
      <c r="D12" s="56"/>
      <c r="E12" s="56"/>
      <c r="F12" s="57">
        <v>3</v>
      </c>
      <c r="G12" s="57"/>
    </row>
    <row r="13" spans="1:9" x14ac:dyDescent="0.4">
      <c r="A13" s="211" t="s">
        <v>13</v>
      </c>
      <c r="B13" s="212"/>
      <c r="C13" s="55"/>
      <c r="D13" s="56"/>
      <c r="E13" s="56"/>
      <c r="F13" s="57">
        <v>10</v>
      </c>
      <c r="G13" s="56"/>
    </row>
    <row r="14" spans="1:9" x14ac:dyDescent="0.4">
      <c r="A14" s="228" t="s">
        <v>18</v>
      </c>
      <c r="B14" s="227"/>
      <c r="C14" s="79"/>
      <c r="D14" s="84">
        <v>4</v>
      </c>
      <c r="E14" s="84"/>
      <c r="F14" s="84"/>
      <c r="G14" s="80"/>
    </row>
    <row r="15" spans="1:9" ht="16.5" customHeight="1" x14ac:dyDescent="0.4">
      <c r="A15" s="211" t="s">
        <v>20</v>
      </c>
      <c r="B15" s="212"/>
      <c r="C15" s="55"/>
      <c r="D15" s="56"/>
      <c r="E15" s="56"/>
      <c r="F15" s="57">
        <v>8</v>
      </c>
      <c r="G15" s="57"/>
    </row>
    <row r="16" spans="1:9" ht="16.5" customHeight="1" x14ac:dyDescent="0.4">
      <c r="A16" s="228" t="s">
        <v>22</v>
      </c>
      <c r="B16" s="227"/>
      <c r="C16" s="79"/>
      <c r="D16" s="84">
        <v>110</v>
      </c>
      <c r="E16" s="84"/>
      <c r="F16" s="84"/>
      <c r="G16" s="65"/>
    </row>
    <row r="17" spans="1:7" ht="15.75" customHeight="1" thickBot="1" x14ac:dyDescent="0.45">
      <c r="A17" s="230" t="s">
        <v>24</v>
      </c>
      <c r="B17" s="231"/>
      <c r="C17" s="63"/>
      <c r="D17" s="64"/>
      <c r="E17" s="65">
        <v>5</v>
      </c>
      <c r="F17" s="65"/>
      <c r="G17" s="64"/>
    </row>
    <row r="18" spans="1:7" ht="15" thickBot="1" x14ac:dyDescent="0.45">
      <c r="A18" s="232" t="s">
        <v>25</v>
      </c>
      <c r="B18" s="233"/>
      <c r="C18" s="69"/>
      <c r="D18" s="70"/>
      <c r="E18" s="70"/>
      <c r="F18" s="70"/>
      <c r="G18" s="70"/>
    </row>
    <row r="19" spans="1:7" ht="14.6" customHeight="1" x14ac:dyDescent="0.4">
      <c r="A19" s="234" t="s">
        <v>27</v>
      </c>
      <c r="B19" s="235"/>
      <c r="C19" s="52">
        <v>10</v>
      </c>
      <c r="D19" s="51"/>
      <c r="E19" s="51"/>
      <c r="F19" s="51"/>
      <c r="G19" s="56"/>
    </row>
    <row r="20" spans="1:7" ht="14.6" customHeight="1" x14ac:dyDescent="0.4">
      <c r="A20" s="226" t="s">
        <v>28</v>
      </c>
      <c r="B20" s="229"/>
      <c r="C20" s="79"/>
      <c r="D20" s="84">
        <v>160</v>
      </c>
      <c r="E20" s="84"/>
      <c r="F20" s="80"/>
      <c r="G20" s="56"/>
    </row>
    <row r="21" spans="1:7" ht="14.6" customHeight="1" x14ac:dyDescent="0.4">
      <c r="A21" s="226" t="s">
        <v>29</v>
      </c>
      <c r="B21" s="227"/>
      <c r="C21" s="79"/>
      <c r="D21" s="84">
        <v>0</v>
      </c>
      <c r="E21" s="84"/>
      <c r="F21" s="80"/>
      <c r="G21" s="56"/>
    </row>
    <row r="22" spans="1:7" ht="14.6" customHeight="1" x14ac:dyDescent="0.4">
      <c r="A22" s="236" t="s">
        <v>30</v>
      </c>
      <c r="B22" s="237"/>
      <c r="C22" s="79"/>
      <c r="D22" s="84">
        <v>0</v>
      </c>
      <c r="E22" s="80"/>
      <c r="F22" s="80"/>
      <c r="G22" s="56"/>
    </row>
    <row r="23" spans="1:7" x14ac:dyDescent="0.4">
      <c r="A23" s="211" t="s">
        <v>32</v>
      </c>
      <c r="B23" s="212"/>
      <c r="C23" s="61">
        <v>40</v>
      </c>
      <c r="D23" s="57"/>
      <c r="E23" s="56"/>
      <c r="F23" s="56"/>
      <c r="G23" s="56"/>
    </row>
    <row r="24" spans="1:7" x14ac:dyDescent="0.4">
      <c r="A24" s="228" t="s">
        <v>33</v>
      </c>
      <c r="B24" s="227"/>
      <c r="C24" s="79"/>
      <c r="D24" s="84">
        <v>3500</v>
      </c>
      <c r="E24" s="84"/>
      <c r="F24" s="84"/>
      <c r="G24" s="56"/>
    </row>
    <row r="25" spans="1:7" ht="14.6" customHeight="1" x14ac:dyDescent="0.4">
      <c r="A25" s="226" t="s">
        <v>34</v>
      </c>
      <c r="B25" s="229"/>
      <c r="C25" s="55"/>
      <c r="D25" s="57">
        <v>0</v>
      </c>
      <c r="E25" s="57"/>
      <c r="F25" s="57"/>
      <c r="G25" s="80"/>
    </row>
    <row r="26" spans="1:7" ht="25.65" customHeight="1" x14ac:dyDescent="0.4">
      <c r="A26" s="251" t="s">
        <v>35</v>
      </c>
      <c r="B26" s="252"/>
      <c r="C26" s="55"/>
      <c r="D26" s="57">
        <v>0</v>
      </c>
      <c r="E26" s="57"/>
      <c r="F26" s="57"/>
      <c r="G26" s="56"/>
    </row>
    <row r="27" spans="1:7" ht="27" customHeight="1" x14ac:dyDescent="0.4">
      <c r="A27" s="226" t="s">
        <v>37</v>
      </c>
      <c r="B27" s="227"/>
      <c r="C27" s="79"/>
      <c r="D27" s="84">
        <v>0</v>
      </c>
      <c r="E27" s="84"/>
      <c r="F27" s="80"/>
      <c r="G27" s="56"/>
    </row>
    <row r="28" spans="1:7" ht="15" customHeight="1" thickBot="1" x14ac:dyDescent="0.45">
      <c r="A28" s="230" t="s">
        <v>39</v>
      </c>
      <c r="B28" s="231"/>
      <c r="C28" s="73">
        <v>1</v>
      </c>
      <c r="D28" s="64"/>
      <c r="E28" s="64"/>
      <c r="F28" s="64"/>
      <c r="G28" s="64"/>
    </row>
    <row r="29" spans="1:7" ht="15" thickBot="1" x14ac:dyDescent="0.45">
      <c r="A29" s="232" t="s">
        <v>40</v>
      </c>
      <c r="B29" s="233"/>
      <c r="C29" s="69"/>
      <c r="D29" s="70"/>
      <c r="E29" s="70"/>
      <c r="F29" s="70"/>
      <c r="G29" s="70"/>
    </row>
    <row r="30" spans="1:7" x14ac:dyDescent="0.4">
      <c r="A30" s="234" t="s">
        <v>42</v>
      </c>
      <c r="B30" s="235"/>
      <c r="C30" s="74">
        <v>0</v>
      </c>
      <c r="D30" s="52"/>
      <c r="E30" s="51"/>
      <c r="F30" s="51"/>
      <c r="G30" s="51"/>
    </row>
    <row r="31" spans="1:7" ht="24.9" customHeight="1" x14ac:dyDescent="0.4">
      <c r="A31" s="226" t="s">
        <v>43</v>
      </c>
      <c r="B31" s="229"/>
      <c r="C31" s="79"/>
      <c r="D31" s="84">
        <v>0</v>
      </c>
      <c r="E31" s="84"/>
      <c r="F31" s="84"/>
      <c r="G31" s="80"/>
    </row>
    <row r="32" spans="1:7" ht="24.9" customHeight="1" x14ac:dyDescent="0.4">
      <c r="A32" s="226" t="s">
        <v>45</v>
      </c>
      <c r="B32" s="229"/>
      <c r="C32" s="79"/>
      <c r="D32" s="84">
        <v>40</v>
      </c>
      <c r="E32" s="84"/>
      <c r="F32" s="84"/>
      <c r="G32" s="207"/>
    </row>
    <row r="33" spans="1:8" ht="15" thickBot="1" x14ac:dyDescent="0.45">
      <c r="A33" s="230" t="s">
        <v>47</v>
      </c>
      <c r="B33" s="231"/>
      <c r="C33" s="63"/>
      <c r="D33" s="65">
        <v>10</v>
      </c>
      <c r="E33" s="65"/>
      <c r="F33" s="65"/>
      <c r="G33" s="64"/>
    </row>
    <row r="34" spans="1:8" ht="15" thickBot="1" x14ac:dyDescent="0.45">
      <c r="A34" s="232" t="s">
        <v>48</v>
      </c>
      <c r="B34" s="233"/>
      <c r="C34" s="69"/>
      <c r="D34" s="70"/>
      <c r="E34" s="70"/>
      <c r="F34" s="70"/>
      <c r="G34" s="70"/>
    </row>
    <row r="35" spans="1:8" ht="15" thickBot="1" x14ac:dyDescent="0.45">
      <c r="A35" s="42"/>
      <c r="B35" s="41" t="s">
        <v>53</v>
      </c>
      <c r="C35" s="15">
        <f>SUM(C10:C34)</f>
        <v>51</v>
      </c>
      <c r="D35" s="19">
        <f>SUM(D10:D34)</f>
        <v>3824</v>
      </c>
      <c r="E35" s="19">
        <f>SUM(E10:E34)</f>
        <v>5</v>
      </c>
      <c r="F35" s="19">
        <f>SUM(F10:F34)</f>
        <v>33</v>
      </c>
      <c r="G35" s="19">
        <f>SUM(G10:G34)</f>
        <v>0</v>
      </c>
    </row>
    <row r="36" spans="1:8" ht="15" thickBot="1" x14ac:dyDescent="0.45"/>
    <row r="37" spans="1:8" ht="15" thickBot="1" x14ac:dyDescent="0.45">
      <c r="A37" s="92"/>
      <c r="B37" s="157" t="s">
        <v>54</v>
      </c>
      <c r="C37" s="158">
        <v>2023</v>
      </c>
      <c r="D37" s="159">
        <v>2024</v>
      </c>
      <c r="E37" s="159">
        <v>2025</v>
      </c>
      <c r="F37" s="159">
        <v>2026</v>
      </c>
      <c r="G37" s="159">
        <v>2027</v>
      </c>
      <c r="H37" s="155" t="s">
        <v>131</v>
      </c>
    </row>
    <row r="38" spans="1:8" ht="15" thickBot="1" x14ac:dyDescent="0.45">
      <c r="A38" s="137" t="s">
        <v>132</v>
      </c>
      <c r="B38" s="97">
        <f>'LPTS-ehdotus'!C41</f>
        <v>215</v>
      </c>
      <c r="C38" s="98">
        <f>'LPTS-ehdotus'!D41</f>
        <v>215</v>
      </c>
      <c r="D38" s="204">
        <f>'LPTS-ehdotus'!E41</f>
        <v>114</v>
      </c>
      <c r="E38" s="98">
        <f>'LPTS-ehdotus'!F41</f>
        <v>114</v>
      </c>
      <c r="F38" s="204">
        <f>'LPTS-ehdotus'!G41</f>
        <v>114</v>
      </c>
      <c r="G38" s="98">
        <f>'LPTS-ehdotus'!H41</f>
        <v>114</v>
      </c>
      <c r="H38" s="205">
        <f>'LPTS-ehdotus'!O41</f>
        <v>75</v>
      </c>
    </row>
    <row r="39" spans="1:8" hidden="1" x14ac:dyDescent="0.4">
      <c r="A39" s="154" t="s">
        <v>56</v>
      </c>
      <c r="B39" s="8"/>
      <c r="C39" s="7"/>
      <c r="D39" s="7"/>
      <c r="E39" s="7"/>
      <c r="F39" s="7"/>
      <c r="G39" s="7"/>
      <c r="H39" s="130" t="e">
        <f>((H50*$B$74/1000+(12*78)*1.03^27)+(H53*$B$75/1000+(5950*0.4+3027.67+27.22*200)*1.03^27))-(H37+H38)</f>
        <v>#VALUE!</v>
      </c>
    </row>
    <row r="40" spans="1:8" ht="15" hidden="1" thickBot="1" x14ac:dyDescent="0.45">
      <c r="B40" s="8"/>
      <c r="C40" s="7"/>
      <c r="D40" s="7"/>
      <c r="E40" s="7"/>
      <c r="F40" s="7"/>
      <c r="G40" s="7"/>
      <c r="H40" s="131">
        <f>(H58/1000*H56+H57/1000*H55)/1000</f>
        <v>0</v>
      </c>
    </row>
    <row r="41" spans="1:8" ht="15" hidden="1" thickBot="1" x14ac:dyDescent="0.45">
      <c r="A41" s="92"/>
      <c r="B41" s="93" t="s">
        <v>54</v>
      </c>
      <c r="C41" s="94">
        <v>2023</v>
      </c>
      <c r="D41" s="95">
        <v>2024</v>
      </c>
      <c r="E41" s="95">
        <v>2025</v>
      </c>
      <c r="F41" s="95">
        <v>2026</v>
      </c>
      <c r="G41" s="95">
        <v>2027</v>
      </c>
    </row>
    <row r="42" spans="1:8" x14ac:dyDescent="0.4">
      <c r="A42" s="135" t="s">
        <v>133</v>
      </c>
      <c r="B42" s="165">
        <f>'LPTS-ehdotus'!C49</f>
        <v>0</v>
      </c>
      <c r="C42" s="166">
        <f>'LPTS-ehdotus'!D49</f>
        <v>0</v>
      </c>
      <c r="D42" s="170">
        <f>'LPTS-ehdotus'!E49</f>
        <v>37525.001649999991</v>
      </c>
      <c r="E42" s="166">
        <f>'LPTS-ehdotus'!F49</f>
        <v>39414.8716995</v>
      </c>
      <c r="F42" s="170">
        <f>'LPTS-ehdotus'!G49</f>
        <v>40597.317850485</v>
      </c>
      <c r="G42" s="166">
        <f>'LPTS-ehdotus'!H49</f>
        <v>41815.237385999542</v>
      </c>
      <c r="H42" s="188">
        <f>'LPTS-ehdotus'!O49</f>
        <v>98832.193471368228</v>
      </c>
    </row>
    <row r="43" spans="1:8" ht="15" thickBot="1" x14ac:dyDescent="0.45">
      <c r="A43" s="136" t="s">
        <v>134</v>
      </c>
      <c r="B43" s="104">
        <f>'LPTS-ehdotus'!C50</f>
        <v>37.891824300000003</v>
      </c>
      <c r="C43" s="206">
        <f>'LPTS-ehdotus'!D50</f>
        <v>37.891824300000003</v>
      </c>
      <c r="D43" s="206">
        <f>'LPTS-ehdotus'!E50</f>
        <v>21.310627086</v>
      </c>
      <c r="E43" s="206">
        <f>'LPTS-ehdotus'!F50</f>
        <v>20.43017762142</v>
      </c>
      <c r="F43" s="206">
        <f>'LPTS-ehdotus'!G50</f>
        <v>19.5581831127774</v>
      </c>
      <c r="G43" s="206">
        <f>'LPTS-ehdotus'!H50</f>
        <v>18.694389911394079</v>
      </c>
      <c r="H43" s="131">
        <f>'LPTS-ehdotus'!O50</f>
        <v>7.1477609498067212</v>
      </c>
    </row>
    <row r="44" spans="1:8" x14ac:dyDescent="0.4">
      <c r="A44" s="156" t="s">
        <v>56</v>
      </c>
      <c r="B44" s="108"/>
      <c r="C44" s="109"/>
      <c r="D44" s="109"/>
      <c r="E44" s="109"/>
      <c r="F44" s="109"/>
      <c r="G44" s="109"/>
    </row>
    <row r="45" spans="1:8" x14ac:dyDescent="0.4">
      <c r="A45" s="156" t="s">
        <v>135</v>
      </c>
    </row>
    <row r="46" spans="1:8" x14ac:dyDescent="0.4">
      <c r="A46" s="156" t="s">
        <v>136</v>
      </c>
    </row>
    <row r="47" spans="1:8" x14ac:dyDescent="0.4">
      <c r="A47" t="s">
        <v>137</v>
      </c>
      <c r="B47" t="s">
        <v>138</v>
      </c>
    </row>
    <row r="48" spans="1:8" x14ac:dyDescent="0.4">
      <c r="A48" t="s">
        <v>139</v>
      </c>
      <c r="B48" t="s">
        <v>140</v>
      </c>
    </row>
  </sheetData>
  <mergeCells count="33">
    <mergeCell ref="A2:G2"/>
    <mergeCell ref="A8:G8"/>
    <mergeCell ref="A17:B17"/>
    <mergeCell ref="A9:B9"/>
    <mergeCell ref="A10:B10"/>
    <mergeCell ref="A11:B11"/>
    <mergeCell ref="A12:B12"/>
    <mergeCell ref="A13:B13"/>
    <mergeCell ref="A15:B15"/>
    <mergeCell ref="B3:G3"/>
    <mergeCell ref="B4:G4"/>
    <mergeCell ref="B5:G5"/>
    <mergeCell ref="B6:G6"/>
    <mergeCell ref="B7:G7"/>
    <mergeCell ref="A14:B14"/>
    <mergeCell ref="A33:B33"/>
    <mergeCell ref="A34:B34"/>
    <mergeCell ref="A31:B31"/>
    <mergeCell ref="A18:B18"/>
    <mergeCell ref="A19:B19"/>
    <mergeCell ref="A25:B25"/>
    <mergeCell ref="A26:B26"/>
    <mergeCell ref="A28:B28"/>
    <mergeCell ref="A29:B29"/>
    <mergeCell ref="A30:B30"/>
    <mergeCell ref="A27:B27"/>
    <mergeCell ref="A24:B24"/>
    <mergeCell ref="A32:B32"/>
    <mergeCell ref="A16:B16"/>
    <mergeCell ref="A20:B20"/>
    <mergeCell ref="A21:B21"/>
    <mergeCell ref="A22:B22"/>
    <mergeCell ref="A23:B2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7052e92-c70b-4053-8f46-a2ef2e78b280">
      <UserInfo>
        <DisplayName>Teemu Kettunen</DisplayName>
        <AccountId>9</AccountId>
        <AccountType/>
      </UserInfo>
      <UserInfo>
        <DisplayName>Minna Tolvanen</DisplayName>
        <AccountId>20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0E127627F78DB347A435126AA3402019" ma:contentTypeVersion="6" ma:contentTypeDescription="Luo uusi asiakirja." ma:contentTypeScope="" ma:versionID="0dd594de9494b2d1c6b1cbe8b1a35216">
  <xsd:schema xmlns:xsd="http://www.w3.org/2001/XMLSchema" xmlns:xs="http://www.w3.org/2001/XMLSchema" xmlns:p="http://schemas.microsoft.com/office/2006/metadata/properties" xmlns:ns2="cf7bce1e-f26f-43d9-a7b6-5ef71bdddd5c" xmlns:ns3="67052e92-c70b-4053-8f46-a2ef2e78b280" targetNamespace="http://schemas.microsoft.com/office/2006/metadata/properties" ma:root="true" ma:fieldsID="1cad10a28b3c1a1b23fa605184ff25ad" ns2:_="" ns3:_="">
    <xsd:import namespace="cf7bce1e-f26f-43d9-a7b6-5ef71bdddd5c"/>
    <xsd:import namespace="67052e92-c70b-4053-8f46-a2ef2e78b2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7bce1e-f26f-43d9-a7b6-5ef71bdddd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052e92-c70b-4053-8f46-a2ef2e78b280"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64B1AD-D027-4459-BBD6-AB7F2DF671F4}">
  <ds:schemaRefs>
    <ds:schemaRef ds:uri="http://purl.org/dc/elements/1.1/"/>
    <ds:schemaRef ds:uri="http://schemas.microsoft.com/office/infopath/2007/PartnerControls"/>
    <ds:schemaRef ds:uri="http://purl.org/dc/dcmitype/"/>
    <ds:schemaRef ds:uri="cf7bce1e-f26f-43d9-a7b6-5ef71bdddd5c"/>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67052e92-c70b-4053-8f46-a2ef2e78b280"/>
    <ds:schemaRef ds:uri="http://purl.org/dc/terms/"/>
  </ds:schemaRefs>
</ds:datastoreItem>
</file>

<file path=customXml/itemProps2.xml><?xml version="1.0" encoding="utf-8"?>
<ds:datastoreItem xmlns:ds="http://schemas.openxmlformats.org/officeDocument/2006/customXml" ds:itemID="{248751BA-7370-4D0B-A100-77896B81E9F0}"/>
</file>

<file path=customXml/itemProps3.xml><?xml version="1.0" encoding="utf-8"?>
<ds:datastoreItem xmlns:ds="http://schemas.openxmlformats.org/officeDocument/2006/customXml" ds:itemID="{6AF3B1E6-2404-4058-ADD9-7C240DA4E2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LPTS-ehdotus</vt:lpstr>
      <vt:lpstr>PTS ilman energia-investointeja</vt:lpstr>
      <vt:lpstr>E-luvun laskennan lähtötiedot</vt:lpstr>
      <vt:lpstr>Perusparannusvaiheet</vt:lpstr>
      <vt:lpstr>LPTS etusivunäkymä</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Teemu Kettunen</dc:creator>
  <cp:keywords/>
  <dc:description/>
  <cp:lastModifiedBy>Teemu Kettunen</cp:lastModifiedBy>
  <cp:revision/>
  <dcterms:created xsi:type="dcterms:W3CDTF">2022-11-03T10:02:16Z</dcterms:created>
  <dcterms:modified xsi:type="dcterms:W3CDTF">2023-01-27T15:48:46Z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0x0101000E127627F78DB347A435126AA3402019</vt:lpwstr>
  </property>
</Properties>
</file>