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activeTab="0"/>
  </bookViews>
  <sheets>
    <sheet name="Etusivu" sheetId="1" r:id="rId1"/>
    <sheet name="Puustotietojen keruulomake" sheetId="2" r:id="rId2"/>
    <sheet name="Tulokset" sheetId="3" r:id="rId3"/>
  </sheets>
  <definedNames>
    <definedName name="_Toc200430180" localSheetId="0">'Etusivu'!$I$28</definedName>
  </definedNames>
  <calcPr fullCalcOnLoad="1"/>
</workbook>
</file>

<file path=xl/sharedStrings.xml><?xml version="1.0" encoding="utf-8"?>
<sst xmlns="http://schemas.openxmlformats.org/spreadsheetml/2006/main" count="202" uniqueCount="90">
  <si>
    <t xml:space="preserve">    Metsäntutkimuslaitos, Itä-Suomen alueyksikkö, Joensuun toimipaikka</t>
  </si>
  <si>
    <t>Laskentaohjelma on laadittu hankkeessa Metsäenergiaa kannattavasti - METKA</t>
  </si>
  <si>
    <t>Mänty</t>
  </si>
  <si>
    <t xml:space="preserve">Kuusi </t>
  </si>
  <si>
    <t>Koivu</t>
  </si>
  <si>
    <t>Muu lehtipuu</t>
  </si>
  <si>
    <t>Puun pituus, m</t>
  </si>
  <si>
    <t>Latvuksen pituus, m</t>
  </si>
  <si>
    <t>Rinnankorkeus läpimitta, mm</t>
  </si>
  <si>
    <t>Rinnankorkeus läpimitta, cm</t>
  </si>
  <si>
    <t>Runkopuu</t>
  </si>
  <si>
    <t>Kuori</t>
  </si>
  <si>
    <t>Kanto</t>
  </si>
  <si>
    <t>Juuret</t>
  </si>
  <si>
    <t>Latvussuhde</t>
  </si>
  <si>
    <t>Elävät oksat</t>
  </si>
  <si>
    <t>Neulaset</t>
  </si>
  <si>
    <t>Kuolleet oksat</t>
  </si>
  <si>
    <t>Runkopuu kg</t>
  </si>
  <si>
    <t>Kuori kg</t>
  </si>
  <si>
    <t>Kanto kg</t>
  </si>
  <si>
    <t>Juuret kg</t>
  </si>
  <si>
    <t>Elävät oksat kg</t>
  </si>
  <si>
    <t>Neulaset kg</t>
  </si>
  <si>
    <t>Kuolleet oksat kg</t>
  </si>
  <si>
    <t>Kuorellinen runkopuu m³</t>
  </si>
  <si>
    <t>Latvusmassa m³</t>
  </si>
  <si>
    <t>-</t>
  </si>
  <si>
    <t>Puita per ha</t>
  </si>
  <si>
    <t>Puita per työmaa</t>
  </si>
  <si>
    <t>Kuorellinen runkopuu, m³/ha</t>
  </si>
  <si>
    <t>Latvusmassa, m³/ha</t>
  </si>
  <si>
    <t>Kuorellinen runkopuu, m³/työmaa</t>
  </si>
  <si>
    <t>Latvusmassa, m³/työmaa</t>
  </si>
  <si>
    <t>Kokopuun koko, m³</t>
  </si>
  <si>
    <t>Runkopuun koko, m³</t>
  </si>
  <si>
    <t>Kokopuun tilavuus, dm³</t>
  </si>
  <si>
    <r>
      <t>d</t>
    </r>
    <r>
      <rPr>
        <i/>
        <vertAlign val="subscript"/>
        <sz val="10"/>
        <rFont val="Albertus Extra Bold"/>
        <family val="2"/>
      </rPr>
      <t>ski</t>
    </r>
  </si>
  <si>
    <r>
      <t>h</t>
    </r>
    <r>
      <rPr>
        <i/>
        <vertAlign val="subscript"/>
        <sz val="10"/>
        <rFont val="Albertus Extra Bold"/>
        <family val="2"/>
      </rPr>
      <t>ski</t>
    </r>
  </si>
  <si>
    <t>Latvussuhde, %</t>
  </si>
  <si>
    <t>Hakkuukertymä, m³</t>
  </si>
  <si>
    <t>Hakkuukertymä, m³/ha</t>
  </si>
  <si>
    <t>Rankapuun tilavuus, dm³</t>
  </si>
  <si>
    <t>Harvennuspoistuman puulajisuhteet rinnankorkeusläpimittaluokassa yli 8 cm:</t>
  </si>
  <si>
    <t>Männyn osuus poistuman runkoluvusta, %</t>
  </si>
  <si>
    <t>Kuusen osuus poistuman runkoluvusta, %</t>
  </si>
  <si>
    <t>Koivun osuus poistuman runkoluvusta, %</t>
  </si>
  <si>
    <t>Muiden lehtipuulajien osuus poistuman runkoluvusta, %</t>
  </si>
  <si>
    <t>Rinnankorkeusläpimitaltaan yli 8 cm puiden osuus poistuman runkoluvusta, %</t>
  </si>
  <si>
    <t>Työmaan pinta-ala, ha</t>
  </si>
  <si>
    <t>Rinnankorkeusläpimitta, cm</t>
  </si>
  <si>
    <t xml:space="preserve">             Harvennusmetsien energiapuun</t>
  </si>
  <si>
    <t xml:space="preserve">Ohjelma laskee kokopuun ja rangan kertymät ja keskitilavuudet leimikkotasolla puustotunnusten avulla </t>
  </si>
  <si>
    <t xml:space="preserve">         kertymien &amp; keskitilavuuksien laskentaohjelma</t>
  </si>
  <si>
    <r>
      <t xml:space="preserve">Tulokset:* </t>
    </r>
    <r>
      <rPr>
        <b/>
        <sz val="8"/>
        <rFont val="Albertus Extra Bold"/>
        <family val="2"/>
      </rPr>
      <t>* Puubiomassan määrät on laskettu Repola ym. (2007) malleilla ja ne on muutettu kiintotilavuuksiksi Hakkilan (1978) kuivatuoretiheyskertoimilla</t>
    </r>
  </si>
  <si>
    <r>
      <t>Hakkuupoistuman pohjapinta-ala yhteensä, m</t>
    </r>
    <r>
      <rPr>
        <vertAlign val="superscript"/>
        <sz val="12"/>
        <rFont val="Albertus Extra Bold"/>
        <family val="2"/>
      </rPr>
      <t>2</t>
    </r>
    <r>
      <rPr>
        <sz val="12"/>
        <rFont val="Albertus Extra Bold"/>
        <family val="2"/>
      </rPr>
      <t>/ha</t>
    </r>
  </si>
  <si>
    <t xml:space="preserve">Yht. </t>
  </si>
  <si>
    <t>Hakkuupoistuman keskimääräinen runkoväli, m</t>
  </si>
  <si>
    <r>
      <t>Pohjapinta-ala m</t>
    </r>
    <r>
      <rPr>
        <b/>
        <vertAlign val="superscript"/>
        <sz val="10"/>
        <rFont val="Albertus Extra Bold"/>
        <family val="2"/>
      </rPr>
      <t>2</t>
    </r>
    <r>
      <rPr>
        <b/>
        <sz val="10"/>
        <rFont val="Albertus Extra Bold"/>
        <family val="2"/>
      </rPr>
      <t>/ha</t>
    </r>
  </si>
  <si>
    <t>Kuusi</t>
  </si>
  <si>
    <t>Poistuma koealalta kpl, kun yli 8 cm</t>
  </si>
  <si>
    <t>Ka-mänty</t>
  </si>
  <si>
    <t>Ka-kuusi</t>
  </si>
  <si>
    <t>Ka-koivu</t>
  </si>
  <si>
    <t>Ka-muu lehtipuu</t>
  </si>
  <si>
    <t>Poistuman puulajisuhteet, %</t>
  </si>
  <si>
    <t>Poistuma hehtaarilta, kpl</t>
  </si>
  <si>
    <t>Yht.</t>
  </si>
  <si>
    <t>Pituus m, kun yli 8 cm</t>
  </si>
  <si>
    <t>Keskipituus, m</t>
  </si>
  <si>
    <t>Läpimitta cm, kun yli 8 cm</t>
  </si>
  <si>
    <t>Keskiläpimitta, cm</t>
  </si>
  <si>
    <t>Latvussuhde %, kun yli 8 cm</t>
  </si>
  <si>
    <t>Harvennuspoistuman puulajisuhteet rinnankorkeusläpimittaluokassa 4 - 8 cm:</t>
  </si>
  <si>
    <r>
      <t xml:space="preserve">Hakkuupoistuma, runkoja hehtaarilta yht. </t>
    </r>
    <r>
      <rPr>
        <i/>
        <sz val="8"/>
        <rFont val="Albertus Extra Bold"/>
        <family val="2"/>
      </rPr>
      <t>(kpl/ha)</t>
    </r>
  </si>
  <si>
    <t>Rinnankorkeusläpimitaltaan 4 - 8 cm puiden osuus poistuman runkoluvusta, %</t>
  </si>
  <si>
    <t>Poistuma koealalta kpl, kun 4 - 8 cm</t>
  </si>
  <si>
    <t>Pituus m, kun 4 - 8 cm</t>
  </si>
  <si>
    <t>Läpimitta cm, kun 4 - 8 cm</t>
  </si>
  <si>
    <t>Latvussuhde %, kun 4 - 8 cm</t>
  </si>
  <si>
    <t>Puusto- ja työmaatietojen keruulomake, kun ympyräkoealan säde on 3,99 metriä:</t>
  </si>
  <si>
    <t xml:space="preserve">  © Juha Laitila 2010</t>
  </si>
  <si>
    <t>TULOKSET: Puustotiedot energiapuuharvennuksella</t>
  </si>
  <si>
    <r>
      <t xml:space="preserve">Kerää </t>
    </r>
    <r>
      <rPr>
        <b/>
        <u val="single"/>
        <sz val="10"/>
        <rFont val="Arial"/>
        <family val="2"/>
      </rPr>
      <t>vihreäpohjaisiin</t>
    </r>
    <r>
      <rPr>
        <sz val="10"/>
        <rFont val="Arial"/>
        <family val="0"/>
      </rPr>
      <t xml:space="preserve"> soluihin puustotiedot niistä harvennuspoistuman puista, joiden rinnankorkeusläpimitta on yli 8 cm</t>
    </r>
  </si>
  <si>
    <r>
      <t xml:space="preserve">Kerää </t>
    </r>
    <r>
      <rPr>
        <b/>
        <u val="single"/>
        <sz val="10"/>
        <rFont val="Arial"/>
        <family val="2"/>
      </rPr>
      <t>keltapohjaisiin</t>
    </r>
    <r>
      <rPr>
        <sz val="10"/>
        <rFont val="Arial"/>
        <family val="0"/>
      </rPr>
      <t xml:space="preserve"> soluihin puustotiedot niistä harvennuspoistuman puista, joiden rinnankorkeusläpimitta on 4 - 8 cm</t>
    </r>
  </si>
  <si>
    <t>Kuvion pinta-ala, hehtaareina</t>
  </si>
  <si>
    <t>Kokopuun määrä kuviolla yhteensä.:</t>
  </si>
  <si>
    <t>Rankapuun määrä kuviolla yhteensä.:</t>
  </si>
  <si>
    <t>Kokopuun keskitilavuus kuviolla, dm³</t>
  </si>
  <si>
    <t>Rankapuun keskitilavuus kuviolla, dm³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</si>
</sst>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  <numFmt numFmtId="171" formatCode="0.0\ %"/>
    <numFmt numFmtId="172" formatCode="0.000\ %"/>
    <numFmt numFmtId="173" formatCode="0.000000000"/>
    <numFmt numFmtId="174" formatCode="#,##0.0\ _m_k"/>
    <numFmt numFmtId="175" formatCode="0.00_)"/>
  </numFmts>
  <fonts count="70">
    <font>
      <sz val="10"/>
      <name val="Arial"/>
      <family val="0"/>
    </font>
    <font>
      <b/>
      <sz val="24"/>
      <name val="Arial"/>
      <family val="0"/>
    </font>
    <font>
      <b/>
      <sz val="10"/>
      <name val="Comic Sans MS"/>
      <family val="4"/>
    </font>
    <font>
      <sz val="8"/>
      <name val="Arial"/>
      <family val="0"/>
    </font>
    <font>
      <sz val="12"/>
      <name val="Arial"/>
      <family val="0"/>
    </font>
    <font>
      <sz val="12"/>
      <name val="Comic Sans MS"/>
      <family val="4"/>
    </font>
    <font>
      <sz val="12"/>
      <color indexed="13"/>
      <name val="Comic Sans MS"/>
      <family val="4"/>
    </font>
    <font>
      <b/>
      <sz val="36"/>
      <name val="Berlin Sans FB"/>
      <family val="2"/>
    </font>
    <font>
      <sz val="13"/>
      <name val="Albertus Extra Bold"/>
      <family val="2"/>
    </font>
    <font>
      <b/>
      <sz val="12"/>
      <name val="Albertus Extra Bold"/>
      <family val="2"/>
    </font>
    <font>
      <sz val="10"/>
      <name val="Albertus Extra Bold"/>
      <family val="2"/>
    </font>
    <font>
      <b/>
      <sz val="24"/>
      <name val="Albertus Extra Bold"/>
      <family val="2"/>
    </font>
    <font>
      <b/>
      <sz val="18"/>
      <name val="Albertus Extra Bold"/>
      <family val="2"/>
    </font>
    <font>
      <b/>
      <sz val="11"/>
      <name val="Albertus Extra Bold"/>
      <family val="2"/>
    </font>
    <font>
      <sz val="12"/>
      <name val="Albertus Extra Bold"/>
      <family val="2"/>
    </font>
    <font>
      <sz val="11"/>
      <name val="Albertus Extra Bold"/>
      <family val="2"/>
    </font>
    <font>
      <b/>
      <sz val="10"/>
      <name val="Albertus Extra Bold"/>
      <family val="2"/>
    </font>
    <font>
      <i/>
      <sz val="10"/>
      <name val="Albertus Extra Bold"/>
      <family val="2"/>
    </font>
    <font>
      <i/>
      <vertAlign val="subscript"/>
      <sz val="10"/>
      <name val="Albertus Extra Bold"/>
      <family val="2"/>
    </font>
    <font>
      <sz val="12"/>
      <color indexed="60"/>
      <name val="Albertus Extra Bold"/>
      <family val="2"/>
    </font>
    <font>
      <b/>
      <u val="single"/>
      <sz val="10"/>
      <name val="Albertus Extra Bold"/>
      <family val="2"/>
    </font>
    <font>
      <i/>
      <sz val="8"/>
      <name val="Albertus Extra Bold"/>
      <family val="2"/>
    </font>
    <font>
      <sz val="8"/>
      <name val="Albertus Extra Bold"/>
      <family val="2"/>
    </font>
    <font>
      <b/>
      <sz val="12"/>
      <color indexed="60"/>
      <name val="Albertus Extra Bold"/>
      <family val="2"/>
    </font>
    <font>
      <b/>
      <sz val="10"/>
      <name val="Arial"/>
      <family val="2"/>
    </font>
    <font>
      <b/>
      <vertAlign val="superscript"/>
      <sz val="10"/>
      <name val="Albertus Extra Bold"/>
      <family val="2"/>
    </font>
    <font>
      <b/>
      <sz val="8"/>
      <name val="Albertus Extra Bold"/>
      <family val="2"/>
    </font>
    <font>
      <vertAlign val="superscript"/>
      <sz val="12"/>
      <name val="Albertus Extra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Albertus Extra Bold"/>
      <family val="2"/>
    </font>
    <font>
      <sz val="10"/>
      <color indexed="9"/>
      <name val="Albertus Extra Bold"/>
      <family val="2"/>
    </font>
    <font>
      <sz val="12"/>
      <color indexed="9"/>
      <name val="Albertus Extra Bold"/>
      <family val="2"/>
    </font>
    <font>
      <b/>
      <u val="single"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62"/>
      <name val="Times New Roman"/>
      <family val="2"/>
    </font>
    <font>
      <b/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Albertus Extra Bold"/>
      <family val="0"/>
    </font>
    <font>
      <sz val="10"/>
      <color indexed="8"/>
      <name val="Comic Sans MS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6" borderId="0" xfId="0" applyFont="1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0" xfId="0" applyFont="1" applyFill="1" applyAlignment="1" applyProtection="1">
      <alignment horizontal="center"/>
      <protection/>
    </xf>
    <xf numFmtId="0" fontId="4" fillId="36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/>
      <protection/>
    </xf>
    <xf numFmtId="2" fontId="0" fillId="36" borderId="0" xfId="0" applyNumberFormat="1" applyFill="1" applyAlignment="1" applyProtection="1">
      <alignment horizontal="center"/>
      <protection/>
    </xf>
    <xf numFmtId="164" fontId="0" fillId="36" borderId="0" xfId="0" applyNumberFormat="1" applyFill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164" fontId="6" fillId="36" borderId="0" xfId="0" applyNumberFormat="1" applyFont="1" applyFill="1" applyBorder="1" applyAlignment="1" applyProtection="1">
      <alignment horizontal="center"/>
      <protection/>
    </xf>
    <xf numFmtId="164" fontId="5" fillId="36" borderId="0" xfId="0" applyNumberFormat="1" applyFont="1" applyFill="1" applyBorder="1" applyAlignment="1" applyProtection="1">
      <alignment horizontal="center"/>
      <protection/>
    </xf>
    <xf numFmtId="0" fontId="7" fillId="36" borderId="0" xfId="0" applyFont="1" applyFill="1" applyAlignment="1" applyProtection="1">
      <alignment horizontal="center"/>
      <protection/>
    </xf>
    <xf numFmtId="0" fontId="8" fillId="36" borderId="0" xfId="0" applyFont="1" applyFill="1" applyAlignment="1" applyProtection="1">
      <alignment horizontal="center"/>
      <protection/>
    </xf>
    <xf numFmtId="0" fontId="9" fillId="36" borderId="0" xfId="0" applyFont="1" applyFill="1" applyAlignment="1" applyProtection="1">
      <alignment horizontal="center"/>
      <protection/>
    </xf>
    <xf numFmtId="0" fontId="10" fillId="36" borderId="0" xfId="0" applyFont="1" applyFill="1" applyAlignment="1" applyProtection="1">
      <alignment horizontal="center"/>
      <protection/>
    </xf>
    <xf numFmtId="0" fontId="10" fillId="36" borderId="0" xfId="0" applyFont="1" applyFill="1" applyBorder="1" applyAlignment="1" applyProtection="1">
      <alignment horizontal="center"/>
      <protection/>
    </xf>
    <xf numFmtId="0" fontId="11" fillId="36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/>
      <protection/>
    </xf>
    <xf numFmtId="0" fontId="13" fillId="36" borderId="10" xfId="0" applyFont="1" applyFill="1" applyBorder="1" applyAlignment="1" applyProtection="1">
      <alignment/>
      <protection/>
    </xf>
    <xf numFmtId="0" fontId="14" fillId="36" borderId="11" xfId="0" applyFont="1" applyFill="1" applyBorder="1" applyAlignment="1" applyProtection="1">
      <alignment/>
      <protection/>
    </xf>
    <xf numFmtId="0" fontId="15" fillId="36" borderId="10" xfId="0" applyFont="1" applyFill="1" applyBorder="1" applyAlignment="1" applyProtection="1">
      <alignment/>
      <protection/>
    </xf>
    <xf numFmtId="0" fontId="16" fillId="36" borderId="10" xfId="0" applyFont="1" applyFill="1" applyBorder="1" applyAlignment="1" applyProtection="1" quotePrefix="1">
      <alignment horizontal="center"/>
      <protection/>
    </xf>
    <xf numFmtId="0" fontId="13" fillId="36" borderId="11" xfId="0" applyFont="1" applyFill="1" applyBorder="1" applyAlignment="1" applyProtection="1">
      <alignment/>
      <protection/>
    </xf>
    <xf numFmtId="0" fontId="16" fillId="36" borderId="11" xfId="0" applyFont="1" applyFill="1" applyBorder="1" applyAlignment="1" applyProtection="1">
      <alignment/>
      <protection/>
    </xf>
    <xf numFmtId="0" fontId="10" fillId="36" borderId="11" xfId="0" applyFont="1" applyFill="1" applyBorder="1" applyAlignment="1" applyProtection="1">
      <alignment/>
      <protection/>
    </xf>
    <xf numFmtId="0" fontId="16" fillId="36" borderId="10" xfId="0" applyFont="1" applyFill="1" applyBorder="1" applyAlignment="1" applyProtection="1">
      <alignment/>
      <protection/>
    </xf>
    <xf numFmtId="0" fontId="10" fillId="36" borderId="10" xfId="0" applyFont="1" applyFill="1" applyBorder="1" applyAlignment="1" applyProtection="1">
      <alignment/>
      <protection/>
    </xf>
    <xf numFmtId="0" fontId="16" fillId="36" borderId="12" xfId="0" applyFont="1" applyFill="1" applyBorder="1" applyAlignment="1" applyProtection="1" quotePrefix="1">
      <alignment horizontal="center"/>
      <protection/>
    </xf>
    <xf numFmtId="0" fontId="15" fillId="36" borderId="11" xfId="0" applyFont="1" applyFill="1" applyBorder="1" applyAlignment="1" applyProtection="1">
      <alignment/>
      <protection/>
    </xf>
    <xf numFmtId="0" fontId="10" fillId="36" borderId="0" xfId="0" applyFont="1" applyFill="1" applyAlignment="1" applyProtection="1">
      <alignment/>
      <protection/>
    </xf>
    <xf numFmtId="0" fontId="13" fillId="36" borderId="0" xfId="0" applyFont="1" applyFill="1" applyBorder="1" applyAlignment="1" applyProtection="1">
      <alignment/>
      <protection/>
    </xf>
    <xf numFmtId="0" fontId="16" fillId="36" borderId="0" xfId="0" applyFont="1" applyFill="1" applyBorder="1" applyAlignment="1" applyProtection="1">
      <alignment/>
      <protection/>
    </xf>
    <xf numFmtId="0" fontId="10" fillId="36" borderId="12" xfId="0" applyFont="1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/>
      <protection/>
    </xf>
    <xf numFmtId="0" fontId="16" fillId="36" borderId="10" xfId="0" applyFont="1" applyFill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0" xfId="0" applyFont="1" applyFill="1" applyBorder="1" applyAlignment="1" applyProtection="1">
      <alignment horizontal="center"/>
      <protection/>
    </xf>
    <xf numFmtId="0" fontId="16" fillId="37" borderId="10" xfId="0" applyFont="1" applyFill="1" applyBorder="1" applyAlignment="1" applyProtection="1">
      <alignment horizontal="center"/>
      <protection/>
    </xf>
    <xf numFmtId="0" fontId="16" fillId="38" borderId="13" xfId="0" applyFont="1" applyFill="1" applyBorder="1" applyAlignment="1" applyProtection="1">
      <alignment horizontal="center"/>
      <protection/>
    </xf>
    <xf numFmtId="0" fontId="16" fillId="39" borderId="10" xfId="0" applyFont="1" applyFill="1" applyBorder="1" applyAlignment="1" applyProtection="1">
      <alignment/>
      <protection/>
    </xf>
    <xf numFmtId="0" fontId="16" fillId="39" borderId="13" xfId="0" applyFont="1" applyFill="1" applyBorder="1" applyAlignment="1" applyProtection="1">
      <alignment/>
      <protection/>
    </xf>
    <xf numFmtId="0" fontId="16" fillId="39" borderId="13" xfId="0" applyFont="1" applyFill="1" applyBorder="1" applyAlignment="1" applyProtection="1">
      <alignment horizontal="center"/>
      <protection/>
    </xf>
    <xf numFmtId="0" fontId="16" fillId="40" borderId="10" xfId="0" applyFont="1" applyFill="1" applyBorder="1" applyAlignment="1" applyProtection="1">
      <alignment/>
      <protection/>
    </xf>
    <xf numFmtId="1" fontId="19" fillId="38" borderId="11" xfId="0" applyNumberFormat="1" applyFont="1" applyFill="1" applyBorder="1" applyAlignment="1" applyProtection="1">
      <alignment horizontal="center"/>
      <protection/>
    </xf>
    <xf numFmtId="1" fontId="16" fillId="36" borderId="0" xfId="0" applyNumberFormat="1" applyFont="1" applyFill="1" applyAlignment="1" applyProtection="1">
      <alignment horizont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2" fontId="16" fillId="0" borderId="0" xfId="0" applyNumberFormat="1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1" fontId="10" fillId="0" borderId="0" xfId="0" applyNumberFormat="1" applyFont="1" applyFill="1" applyAlignment="1" applyProtection="1">
      <alignment horizontal="center"/>
      <protection/>
    </xf>
    <xf numFmtId="2" fontId="10" fillId="0" borderId="0" xfId="0" applyNumberFormat="1" applyFont="1" applyFill="1" applyAlignment="1" applyProtection="1">
      <alignment horizontal="center"/>
      <protection/>
    </xf>
    <xf numFmtId="0" fontId="14" fillId="36" borderId="0" xfId="0" applyFont="1" applyFill="1" applyAlignment="1" applyProtection="1">
      <alignment horizontal="left"/>
      <protection/>
    </xf>
    <xf numFmtId="1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2" fontId="10" fillId="0" borderId="10" xfId="0" applyNumberFormat="1" applyFont="1" applyFill="1" applyBorder="1" applyAlignment="1" applyProtection="1">
      <alignment horizontal="center"/>
      <protection/>
    </xf>
    <xf numFmtId="9" fontId="14" fillId="36" borderId="0" xfId="0" applyNumberFormat="1" applyFont="1" applyFill="1" applyAlignment="1" applyProtection="1">
      <alignment horizontal="left"/>
      <protection/>
    </xf>
    <xf numFmtId="0" fontId="16" fillId="36" borderId="0" xfId="0" applyFont="1" applyFill="1" applyBorder="1" applyAlignment="1" applyProtection="1">
      <alignment horizontal="center"/>
      <protection/>
    </xf>
    <xf numFmtId="0" fontId="16" fillId="36" borderId="0" xfId="0" applyFont="1" applyFill="1" applyBorder="1" applyAlignment="1" applyProtection="1">
      <alignment horizontal="left"/>
      <protection/>
    </xf>
    <xf numFmtId="1" fontId="16" fillId="39" borderId="11" xfId="0" applyNumberFormat="1" applyFont="1" applyFill="1" applyBorder="1" applyAlignment="1" applyProtection="1">
      <alignment horizontal="center"/>
      <protection/>
    </xf>
    <xf numFmtId="164" fontId="16" fillId="39" borderId="11" xfId="0" applyNumberFormat="1" applyFont="1" applyFill="1" applyBorder="1" applyAlignment="1" applyProtection="1">
      <alignment horizontal="center"/>
      <protection/>
    </xf>
    <xf numFmtId="2" fontId="16" fillId="39" borderId="11" xfId="0" applyNumberFormat="1" applyFont="1" applyFill="1" applyBorder="1" applyAlignment="1" applyProtection="1">
      <alignment horizontal="center"/>
      <protection/>
    </xf>
    <xf numFmtId="2" fontId="16" fillId="40" borderId="10" xfId="0" applyNumberFormat="1" applyFont="1" applyFill="1" applyBorder="1" applyAlignment="1" applyProtection="1">
      <alignment horizontal="center"/>
      <protection/>
    </xf>
    <xf numFmtId="9" fontId="20" fillId="36" borderId="0" xfId="0" applyNumberFormat="1" applyFont="1" applyFill="1" applyAlignment="1" applyProtection="1">
      <alignment horizontal="center"/>
      <protection/>
    </xf>
    <xf numFmtId="9" fontId="14" fillId="36" borderId="0" xfId="0" applyNumberFormat="1" applyFont="1" applyFill="1" applyBorder="1" applyAlignment="1" applyProtection="1">
      <alignment horizontal="left"/>
      <protection/>
    </xf>
    <xf numFmtId="1" fontId="16" fillId="36" borderId="0" xfId="0" applyNumberFormat="1" applyFont="1" applyFill="1" applyBorder="1" applyAlignment="1" applyProtection="1">
      <alignment horizontal="center"/>
      <protection/>
    </xf>
    <xf numFmtId="164" fontId="16" fillId="36" borderId="0" xfId="0" applyNumberFormat="1" applyFont="1" applyFill="1" applyBorder="1" applyAlignment="1" applyProtection="1">
      <alignment horizontal="center"/>
      <protection/>
    </xf>
    <xf numFmtId="2" fontId="16" fillId="36" borderId="0" xfId="0" applyNumberFormat="1" applyFont="1" applyFill="1" applyBorder="1" applyAlignment="1" applyProtection="1">
      <alignment horizontal="center"/>
      <protection/>
    </xf>
    <xf numFmtId="0" fontId="16" fillId="41" borderId="11" xfId="0" applyFont="1" applyFill="1" applyBorder="1" applyAlignment="1" applyProtection="1">
      <alignment horizontal="center"/>
      <protection/>
    </xf>
    <xf numFmtId="0" fontId="10" fillId="36" borderId="0" xfId="0" applyFont="1" applyFill="1" applyAlignment="1" applyProtection="1">
      <alignment horizontal="right"/>
      <protection/>
    </xf>
    <xf numFmtId="2" fontId="16" fillId="36" borderId="0" xfId="0" applyNumberFormat="1" applyFont="1" applyFill="1" applyAlignment="1" applyProtection="1">
      <alignment horizontal="center"/>
      <protection/>
    </xf>
    <xf numFmtId="2" fontId="10" fillId="36" borderId="0" xfId="0" applyNumberFormat="1" applyFont="1" applyFill="1" applyAlignment="1" applyProtection="1">
      <alignment horizontal="center"/>
      <protection/>
    </xf>
    <xf numFmtId="164" fontId="10" fillId="36" borderId="0" xfId="0" applyNumberFormat="1" applyFont="1" applyFill="1" applyAlignment="1" applyProtection="1">
      <alignment horizontal="center"/>
      <protection/>
    </xf>
    <xf numFmtId="164" fontId="16" fillId="36" borderId="0" xfId="0" applyNumberFormat="1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center"/>
      <protection/>
    </xf>
    <xf numFmtId="0" fontId="13" fillId="36" borderId="12" xfId="0" applyFont="1" applyFill="1" applyBorder="1" applyAlignment="1" applyProtection="1">
      <alignment horizontal="center"/>
      <protection/>
    </xf>
    <xf numFmtId="0" fontId="13" fillId="36" borderId="0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/>
      <protection/>
    </xf>
    <xf numFmtId="0" fontId="10" fillId="36" borderId="13" xfId="0" applyFont="1" applyFill="1" applyBorder="1" applyAlignment="1" applyProtection="1">
      <alignment/>
      <protection/>
    </xf>
    <xf numFmtId="172" fontId="10" fillId="36" borderId="0" xfId="59" applyNumberFormat="1" applyFont="1" applyFill="1" applyBorder="1" applyAlignment="1" applyProtection="1">
      <alignment horizontal="center"/>
      <protection/>
    </xf>
    <xf numFmtId="0" fontId="14" fillId="36" borderId="10" xfId="0" applyFont="1" applyFill="1" applyBorder="1" applyAlignment="1" applyProtection="1">
      <alignment/>
      <protection/>
    </xf>
    <xf numFmtId="9" fontId="10" fillId="36" borderId="0" xfId="59" applyFont="1" applyFill="1" applyBorder="1" applyAlignment="1" applyProtection="1">
      <alignment horizontal="center"/>
      <protection/>
    </xf>
    <xf numFmtId="0" fontId="8" fillId="36" borderId="12" xfId="0" applyFont="1" applyFill="1" applyBorder="1" applyAlignment="1" applyProtection="1">
      <alignment horizontal="left"/>
      <protection/>
    </xf>
    <xf numFmtId="0" fontId="16" fillId="36" borderId="0" xfId="0" applyFont="1" applyFill="1" applyAlignment="1" applyProtection="1">
      <alignment horizontal="center"/>
      <protection/>
    </xf>
    <xf numFmtId="0" fontId="16" fillId="36" borderId="0" xfId="0" applyFont="1" applyFill="1" applyAlignment="1" applyProtection="1">
      <alignment/>
      <protection/>
    </xf>
    <xf numFmtId="0" fontId="22" fillId="36" borderId="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15" fillId="36" borderId="0" xfId="0" applyFont="1" applyFill="1" applyBorder="1" applyAlignment="1" applyProtection="1">
      <alignment/>
      <protection/>
    </xf>
    <xf numFmtId="0" fontId="15" fillId="36" borderId="11" xfId="0" applyFont="1" applyFill="1" applyBorder="1" applyAlignment="1" applyProtection="1">
      <alignment horizontal="left"/>
      <protection/>
    </xf>
    <xf numFmtId="0" fontId="16" fillId="36" borderId="0" xfId="0" applyFont="1" applyFill="1" applyBorder="1" applyAlignment="1" applyProtection="1" quotePrefix="1">
      <alignment horizontal="center"/>
      <protection/>
    </xf>
    <xf numFmtId="9" fontId="14" fillId="36" borderId="0" xfId="0" applyNumberFormat="1" applyFont="1" applyFill="1" applyBorder="1" applyAlignment="1" applyProtection="1">
      <alignment horizontal="center"/>
      <protection/>
    </xf>
    <xf numFmtId="0" fontId="15" fillId="36" borderId="0" xfId="0" applyFont="1" applyFill="1" applyBorder="1" applyAlignment="1" applyProtection="1">
      <alignment horizontal="left"/>
      <protection/>
    </xf>
    <xf numFmtId="1" fontId="19" fillId="36" borderId="0" xfId="0" applyNumberFormat="1" applyFont="1" applyFill="1" applyBorder="1" applyAlignment="1" applyProtection="1">
      <alignment horizontal="center"/>
      <protection/>
    </xf>
    <xf numFmtId="0" fontId="10" fillId="36" borderId="0" xfId="0" applyFont="1" applyFill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6" fillId="37" borderId="0" xfId="0" applyFont="1" applyFill="1" applyBorder="1" applyAlignment="1" applyProtection="1">
      <alignment horizontal="center"/>
      <protection/>
    </xf>
    <xf numFmtId="0" fontId="16" fillId="38" borderId="14" xfId="0" applyFont="1" applyFill="1" applyBorder="1" applyAlignment="1" applyProtection="1">
      <alignment horizontal="center"/>
      <protection/>
    </xf>
    <xf numFmtId="0" fontId="16" fillId="39" borderId="0" xfId="0" applyFont="1" applyFill="1" applyBorder="1" applyAlignment="1" applyProtection="1">
      <alignment/>
      <protection/>
    </xf>
    <xf numFmtId="0" fontId="16" fillId="39" borderId="14" xfId="0" applyFont="1" applyFill="1" applyBorder="1" applyAlignment="1" applyProtection="1">
      <alignment/>
      <protection/>
    </xf>
    <xf numFmtId="0" fontId="16" fillId="39" borderId="14" xfId="0" applyFont="1" applyFill="1" applyBorder="1" applyAlignment="1" applyProtection="1">
      <alignment horizontal="center"/>
      <protection/>
    </xf>
    <xf numFmtId="0" fontId="16" fillId="40" borderId="0" xfId="0" applyFont="1" applyFill="1" applyBorder="1" applyAlignment="1" applyProtection="1">
      <alignment/>
      <protection/>
    </xf>
    <xf numFmtId="164" fontId="19" fillId="36" borderId="0" xfId="0" applyNumberFormat="1" applyFont="1" applyFill="1" applyBorder="1" applyAlignment="1" applyProtection="1">
      <alignment horizontal="center"/>
      <protection/>
    </xf>
    <xf numFmtId="1" fontId="14" fillId="36" borderId="0" xfId="0" applyNumberFormat="1" applyFont="1" applyFill="1" applyBorder="1" applyAlignment="1" applyProtection="1">
      <alignment horizontal="center"/>
      <protection/>
    </xf>
    <xf numFmtId="2" fontId="10" fillId="36" borderId="0" xfId="0" applyNumberFormat="1" applyFont="1" applyFill="1" applyBorder="1" applyAlignment="1" applyProtection="1">
      <alignment horizontal="center"/>
      <protection/>
    </xf>
    <xf numFmtId="1" fontId="10" fillId="36" borderId="0" xfId="0" applyNumberFormat="1" applyFont="1" applyFill="1" applyAlignment="1" applyProtection="1">
      <alignment horizontal="center"/>
      <protection/>
    </xf>
    <xf numFmtId="9" fontId="9" fillId="36" borderId="11" xfId="0" applyNumberFormat="1" applyFont="1" applyFill="1" applyBorder="1" applyAlignment="1" applyProtection="1">
      <alignment horizontal="center"/>
      <protection/>
    </xf>
    <xf numFmtId="1" fontId="23" fillId="38" borderId="10" xfId="0" applyNumberFormat="1" applyFont="1" applyFill="1" applyBorder="1" applyAlignment="1" applyProtection="1">
      <alignment horizontal="center"/>
      <protection/>
    </xf>
    <xf numFmtId="1" fontId="9" fillId="42" borderId="10" xfId="0" applyNumberFormat="1" applyFont="1" applyFill="1" applyBorder="1" applyAlignment="1" applyProtection="1">
      <alignment horizontal="center"/>
      <protection/>
    </xf>
    <xf numFmtId="1" fontId="23" fillId="38" borderId="11" xfId="0" applyNumberFormat="1" applyFont="1" applyFill="1" applyBorder="1" applyAlignment="1" applyProtection="1">
      <alignment horizontal="center"/>
      <protection/>
    </xf>
    <xf numFmtId="0" fontId="14" fillId="36" borderId="0" xfId="0" applyFont="1" applyFill="1" applyBorder="1" applyAlignment="1" applyProtection="1" quotePrefix="1">
      <alignment horizontal="center"/>
      <protection/>
    </xf>
    <xf numFmtId="0" fontId="14" fillId="36" borderId="0" xfId="0" applyFont="1" applyFill="1" applyBorder="1" applyAlignment="1" applyProtection="1">
      <alignment horizontal="center"/>
      <protection/>
    </xf>
    <xf numFmtId="9" fontId="9" fillId="36" borderId="0" xfId="0" applyNumberFormat="1" applyFont="1" applyFill="1" applyBorder="1" applyAlignment="1" applyProtection="1">
      <alignment horizontal="center"/>
      <protection/>
    </xf>
    <xf numFmtId="0" fontId="24" fillId="36" borderId="0" xfId="0" applyFont="1" applyFill="1" applyAlignment="1" applyProtection="1">
      <alignment/>
      <protection/>
    </xf>
    <xf numFmtId="0" fontId="22" fillId="36" borderId="12" xfId="0" applyFont="1" applyFill="1" applyBorder="1" applyAlignment="1" applyProtection="1">
      <alignment/>
      <protection/>
    </xf>
    <xf numFmtId="0" fontId="16" fillId="36" borderId="0" xfId="0" applyFont="1" applyFill="1" applyBorder="1" applyAlignment="1" applyProtection="1">
      <alignment horizontal="right"/>
      <protection/>
    </xf>
    <xf numFmtId="0" fontId="13" fillId="36" borderId="0" xfId="0" applyFont="1" applyFill="1" applyBorder="1" applyAlignment="1" applyProtection="1">
      <alignment horizontal="right"/>
      <protection/>
    </xf>
    <xf numFmtId="164" fontId="19" fillId="38" borderId="11" xfId="0" applyNumberFormat="1" applyFont="1" applyFill="1" applyBorder="1" applyAlignment="1" applyProtection="1">
      <alignment horizontal="center"/>
      <protection/>
    </xf>
    <xf numFmtId="164" fontId="13" fillId="36" borderId="11" xfId="0" applyNumberFormat="1" applyFont="1" applyFill="1" applyBorder="1" applyAlignment="1" applyProtection="1">
      <alignment horizontal="center"/>
      <protection/>
    </xf>
    <xf numFmtId="164" fontId="23" fillId="38" borderId="10" xfId="0" applyNumberFormat="1" applyFont="1" applyFill="1" applyBorder="1" applyAlignment="1" applyProtection="1">
      <alignment horizontal="center"/>
      <protection/>
    </xf>
    <xf numFmtId="0" fontId="0" fillId="38" borderId="0" xfId="0" applyFill="1" applyAlignment="1" applyProtection="1">
      <alignment horizontal="center"/>
      <protection locked="0"/>
    </xf>
    <xf numFmtId="0" fontId="0" fillId="38" borderId="10" xfId="0" applyFill="1" applyBorder="1" applyAlignment="1" applyProtection="1">
      <alignment horizontal="center"/>
      <protection locked="0"/>
    </xf>
    <xf numFmtId="9" fontId="0" fillId="38" borderId="0" xfId="59" applyFont="1" applyFill="1" applyAlignment="1" applyProtection="1">
      <alignment horizontal="center"/>
      <protection locked="0"/>
    </xf>
    <xf numFmtId="9" fontId="0" fillId="38" borderId="10" xfId="59" applyFont="1" applyFill="1" applyBorder="1" applyAlignment="1" applyProtection="1">
      <alignment horizontal="center"/>
      <protection locked="0"/>
    </xf>
    <xf numFmtId="0" fontId="30" fillId="36" borderId="15" xfId="0" applyFont="1" applyFill="1" applyBorder="1" applyAlignment="1" applyProtection="1">
      <alignment/>
      <protection/>
    </xf>
    <xf numFmtId="0" fontId="31" fillId="36" borderId="15" xfId="0" applyFont="1" applyFill="1" applyBorder="1" applyAlignment="1" applyProtection="1">
      <alignment/>
      <protection/>
    </xf>
    <xf numFmtId="0" fontId="24" fillId="36" borderId="10" xfId="0" applyFont="1" applyFill="1" applyBorder="1" applyAlignment="1" applyProtection="1">
      <alignment horizontal="center"/>
      <protection/>
    </xf>
    <xf numFmtId="9" fontId="24" fillId="36" borderId="11" xfId="59" applyFont="1" applyFill="1" applyBorder="1" applyAlignment="1" applyProtection="1">
      <alignment horizontal="center"/>
      <protection/>
    </xf>
    <xf numFmtId="0" fontId="24" fillId="36" borderId="10" xfId="0" applyFont="1" applyFill="1" applyBorder="1" applyAlignment="1" applyProtection="1">
      <alignment/>
      <protection/>
    </xf>
    <xf numFmtId="1" fontId="24" fillId="36" borderId="10" xfId="0" applyNumberFormat="1" applyFont="1" applyFill="1" applyBorder="1" applyAlignment="1" applyProtection="1">
      <alignment horizontal="center"/>
      <protection/>
    </xf>
    <xf numFmtId="164" fontId="24" fillId="36" borderId="10" xfId="0" applyNumberFormat="1" applyFont="1" applyFill="1" applyBorder="1" applyAlignment="1" applyProtection="1">
      <alignment horizontal="center"/>
      <protection/>
    </xf>
    <xf numFmtId="9" fontId="24" fillId="36" borderId="10" xfId="59" applyFont="1" applyFill="1" applyBorder="1" applyAlignment="1" applyProtection="1">
      <alignment horizontal="center"/>
      <protection/>
    </xf>
    <xf numFmtId="165" fontId="16" fillId="40" borderId="11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Alignment="1" applyProtection="1">
      <alignment horizontal="center"/>
      <protection/>
    </xf>
    <xf numFmtId="165" fontId="10" fillId="0" borderId="10" xfId="0" applyNumberFormat="1" applyFont="1" applyFill="1" applyBorder="1" applyAlignment="1" applyProtection="1">
      <alignment horizontal="center"/>
      <protection/>
    </xf>
    <xf numFmtId="1" fontId="14" fillId="39" borderId="11" xfId="0" applyNumberFormat="1" applyFont="1" applyFill="1" applyBorder="1" applyAlignment="1" applyProtection="1" quotePrefix="1">
      <alignment horizontal="center"/>
      <protection/>
    </xf>
    <xf numFmtId="9" fontId="14" fillId="39" borderId="10" xfId="59" applyFont="1" applyFill="1" applyBorder="1" applyAlignment="1" applyProtection="1" quotePrefix="1">
      <alignment horizontal="center"/>
      <protection/>
    </xf>
    <xf numFmtId="9" fontId="14" fillId="39" borderId="11" xfId="59" applyFont="1" applyFill="1" applyBorder="1" applyAlignment="1" applyProtection="1" quotePrefix="1">
      <alignment horizontal="center"/>
      <protection/>
    </xf>
    <xf numFmtId="164" fontId="32" fillId="36" borderId="15" xfId="59" applyNumberFormat="1" applyFont="1" applyFill="1" applyBorder="1" applyAlignment="1" applyProtection="1">
      <alignment horizontal="center"/>
      <protection/>
    </xf>
    <xf numFmtId="9" fontId="14" fillId="39" borderId="11" xfId="0" applyNumberFormat="1" applyFont="1" applyFill="1" applyBorder="1" applyAlignment="1" applyProtection="1">
      <alignment horizontal="center"/>
      <protection/>
    </xf>
    <xf numFmtId="9" fontId="14" fillId="39" borderId="11" xfId="59" applyFont="1" applyFill="1" applyBorder="1" applyAlignment="1" applyProtection="1">
      <alignment horizontal="center"/>
      <protection/>
    </xf>
    <xf numFmtId="9" fontId="14" fillId="36" borderId="0" xfId="59" applyFont="1" applyFill="1" applyBorder="1" applyAlignment="1" applyProtection="1">
      <alignment horizontal="center"/>
      <protection/>
    </xf>
    <xf numFmtId="164" fontId="14" fillId="36" borderId="0" xfId="0" applyNumberFormat="1" applyFont="1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/>
      <protection/>
    </xf>
    <xf numFmtId="0" fontId="0" fillId="38" borderId="16" xfId="0" applyFill="1" applyBorder="1" applyAlignment="1" applyProtection="1">
      <alignment/>
      <protection/>
    </xf>
    <xf numFmtId="0" fontId="24" fillId="36" borderId="11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 horizontal="center"/>
      <protection/>
    </xf>
    <xf numFmtId="0" fontId="0" fillId="38" borderId="17" xfId="0" applyFill="1" applyBorder="1" applyAlignment="1" applyProtection="1">
      <alignment/>
      <protection/>
    </xf>
    <xf numFmtId="0" fontId="24" fillId="36" borderId="0" xfId="0" applyFont="1" applyFill="1" applyAlignment="1" applyProtection="1">
      <alignment horizontal="center"/>
      <protection/>
    </xf>
    <xf numFmtId="1" fontId="24" fillId="36" borderId="0" xfId="0" applyNumberFormat="1" applyFont="1" applyFill="1" applyAlignment="1" applyProtection="1">
      <alignment horizontal="center"/>
      <protection/>
    </xf>
    <xf numFmtId="164" fontId="24" fillId="36" borderId="0" xfId="0" applyNumberFormat="1" applyFont="1" applyFill="1" applyAlignment="1" applyProtection="1">
      <alignment horizontal="center"/>
      <protection/>
    </xf>
    <xf numFmtId="0" fontId="24" fillId="43" borderId="18" xfId="0" applyFont="1" applyFill="1" applyBorder="1" applyAlignment="1" applyProtection="1">
      <alignment/>
      <protection/>
    </xf>
    <xf numFmtId="0" fontId="24" fillId="43" borderId="16" xfId="0" applyFont="1" applyFill="1" applyBorder="1" applyAlignment="1" applyProtection="1">
      <alignment/>
      <protection/>
    </xf>
    <xf numFmtId="0" fontId="24" fillId="43" borderId="17" xfId="0" applyFont="1" applyFill="1" applyBorder="1" applyAlignment="1" applyProtection="1">
      <alignment/>
      <protection/>
    </xf>
    <xf numFmtId="1" fontId="14" fillId="39" borderId="11" xfId="0" applyNumberFormat="1" applyFont="1" applyFill="1" applyBorder="1" applyAlignment="1" applyProtection="1">
      <alignment horizontal="center"/>
      <protection/>
    </xf>
    <xf numFmtId="2" fontId="3" fillId="36" borderId="0" xfId="0" applyNumberFormat="1" applyFont="1" applyFill="1" applyAlignment="1">
      <alignment horizontal="center"/>
    </xf>
    <xf numFmtId="171" fontId="3" fillId="36" borderId="0" xfId="59" applyNumberFormat="1" applyFont="1" applyFill="1" applyAlignment="1">
      <alignment horizontal="center"/>
    </xf>
    <xf numFmtId="0" fontId="0" fillId="38" borderId="16" xfId="0" applyFont="1" applyFill="1" applyBorder="1" applyAlignment="1" applyProtection="1">
      <alignment/>
      <protection/>
    </xf>
    <xf numFmtId="0" fontId="0" fillId="38" borderId="17" xfId="0" applyFont="1" applyFill="1" applyBorder="1" applyAlignment="1" applyProtection="1">
      <alignment/>
      <protection/>
    </xf>
    <xf numFmtId="0" fontId="24" fillId="43" borderId="0" xfId="0" applyFont="1" applyFill="1" applyAlignment="1" applyProtection="1">
      <alignment horizontal="center"/>
      <protection locked="0"/>
    </xf>
    <xf numFmtId="0" fontId="24" fillId="43" borderId="10" xfId="0" applyFont="1" applyFill="1" applyBorder="1" applyAlignment="1" applyProtection="1">
      <alignment horizontal="center"/>
      <protection locked="0"/>
    </xf>
    <xf numFmtId="9" fontId="24" fillId="43" borderId="0" xfId="59" applyFont="1" applyFill="1" applyAlignment="1" applyProtection="1">
      <alignment horizontal="center"/>
      <protection locked="0"/>
    </xf>
    <xf numFmtId="9" fontId="24" fillId="43" borderId="10" xfId="59" applyFont="1" applyFill="1" applyBorder="1" applyAlignment="1" applyProtection="1">
      <alignment horizontal="center"/>
      <protection locked="0"/>
    </xf>
    <xf numFmtId="9" fontId="14" fillId="39" borderId="11" xfId="59" applyNumberFormat="1" applyFont="1" applyFill="1" applyBorder="1" applyAlignment="1" applyProtection="1">
      <alignment horizontal="center"/>
      <protection/>
    </xf>
    <xf numFmtId="0" fontId="0" fillId="36" borderId="0" xfId="0" applyFont="1" applyFill="1" applyAlignment="1" applyProtection="1">
      <alignment/>
      <protection/>
    </xf>
    <xf numFmtId="164" fontId="24" fillId="39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7</xdr:row>
      <xdr:rowOff>114300</xdr:rowOff>
    </xdr:from>
    <xdr:to>
      <xdr:col>10</xdr:col>
      <xdr:colOff>180975</xdr:colOff>
      <xdr:row>24</xdr:row>
      <xdr:rowOff>133350</xdr:rowOff>
    </xdr:to>
    <xdr:pic>
      <xdr:nvPicPr>
        <xdr:cNvPr id="1" name="Kuva 0" descr="Manner-Suomen_elementti_CMYK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5019675" y="2238375"/>
          <a:ext cx="12573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8</xdr:row>
      <xdr:rowOff>28575</xdr:rowOff>
    </xdr:from>
    <xdr:to>
      <xdr:col>24</xdr:col>
      <xdr:colOff>457200</xdr:colOff>
      <xdr:row>14</xdr:row>
      <xdr:rowOff>38100</xdr:rowOff>
    </xdr:to>
    <xdr:sp>
      <xdr:nvSpPr>
        <xdr:cNvPr id="1" name="AutoShape 5"/>
        <xdr:cNvSpPr>
          <a:spLocks/>
        </xdr:cNvSpPr>
      </xdr:nvSpPr>
      <xdr:spPr>
        <a:xfrm rot="10800000">
          <a:off x="5981700" y="1466850"/>
          <a:ext cx="419100" cy="1095375"/>
        </a:xfrm>
        <a:prstGeom prst="rightArrowCallout">
          <a:avLst/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381000</xdr:colOff>
      <xdr:row>7</xdr:row>
      <xdr:rowOff>9525</xdr:rowOff>
    </xdr:from>
    <xdr:to>
      <xdr:col>28</xdr:col>
      <xdr:colOff>38100</xdr:colOff>
      <xdr:row>13</xdr:row>
      <xdr:rowOff>19050</xdr:rowOff>
    </xdr:to>
    <xdr:sp>
      <xdr:nvSpPr>
        <xdr:cNvPr id="2" name="AutoShape 7"/>
        <xdr:cNvSpPr>
          <a:spLocks/>
        </xdr:cNvSpPr>
      </xdr:nvSpPr>
      <xdr:spPr>
        <a:xfrm>
          <a:off x="6934200" y="1276350"/>
          <a:ext cx="1485900" cy="1085850"/>
        </a:xfrm>
        <a:prstGeom prst="wedgeRoundRectCallout">
          <a:avLst>
            <a:gd name="adj1" fmla="val -115384"/>
            <a:gd name="adj2" fmla="val 16666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HUOM !!!
</a:t>
          </a:r>
          <a:r>
            <a:rPr lang="en-US" cap="none" sz="1000" b="0" i="0" u="none" baseline="0">
              <a:solidFill>
                <a:srgbClr val="000000"/>
              </a:solidFill>
            </a:rPr>
            <a:t>Kappalemäärien laskemisessa merkitse ko.puulajista ''tyhjät" koealat nollalla taulukossa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24</xdr:col>
      <xdr:colOff>28575</xdr:colOff>
      <xdr:row>17</xdr:row>
      <xdr:rowOff>19050</xdr:rowOff>
    </xdr:from>
    <xdr:to>
      <xdr:col>24</xdr:col>
      <xdr:colOff>447675</xdr:colOff>
      <xdr:row>23</xdr:row>
      <xdr:rowOff>66675</xdr:rowOff>
    </xdr:to>
    <xdr:sp>
      <xdr:nvSpPr>
        <xdr:cNvPr id="3" name="AutoShape 8"/>
        <xdr:cNvSpPr>
          <a:spLocks/>
        </xdr:cNvSpPr>
      </xdr:nvSpPr>
      <xdr:spPr>
        <a:xfrm rot="10800000">
          <a:off x="5972175" y="3067050"/>
          <a:ext cx="419100" cy="1095375"/>
        </a:xfrm>
        <a:prstGeom prst="rightArrowCallou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14</xdr:row>
      <xdr:rowOff>85725</xdr:rowOff>
    </xdr:from>
    <xdr:to>
      <xdr:col>28</xdr:col>
      <xdr:colOff>428625</xdr:colOff>
      <xdr:row>24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6981825" y="2609850"/>
          <a:ext cx="1828800" cy="1666875"/>
        </a:xfrm>
        <a:prstGeom prst="wedgeRoundRectCallout">
          <a:avLst>
            <a:gd name="adj1" fmla="val -105731"/>
            <a:gd name="adj2" fmla="val 9999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HUOM !!!
</a:t>
          </a:r>
          <a:r>
            <a:rPr lang="en-US" cap="none" sz="1000" b="0" i="0" u="none" baseline="0">
              <a:solidFill>
                <a:srgbClr val="000000"/>
              </a:solidFill>
            </a:rPr>
            <a:t>Keskipituuksien ja läpimittojen  laskemisessa jätä ko.puulajista ''tyhjät" koealat tyhjäksi myös taulukossa. Jos ao. puulaji puuttuu kokonaan koealoilta, niin merkitse se taulukkoon nollilla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24</xdr:col>
      <xdr:colOff>38100</xdr:colOff>
      <xdr:row>26</xdr:row>
      <xdr:rowOff>19050</xdr:rowOff>
    </xdr:from>
    <xdr:to>
      <xdr:col>24</xdr:col>
      <xdr:colOff>457200</xdr:colOff>
      <xdr:row>32</xdr:row>
      <xdr:rowOff>66675</xdr:rowOff>
    </xdr:to>
    <xdr:sp>
      <xdr:nvSpPr>
        <xdr:cNvPr id="5" name="AutoShape 10"/>
        <xdr:cNvSpPr>
          <a:spLocks/>
        </xdr:cNvSpPr>
      </xdr:nvSpPr>
      <xdr:spPr>
        <a:xfrm rot="10800000">
          <a:off x="5981700" y="4638675"/>
          <a:ext cx="419100" cy="1095375"/>
        </a:xfrm>
        <a:prstGeom prst="rightArrowCallou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400050</xdr:colOff>
      <xdr:row>24</xdr:row>
      <xdr:rowOff>142875</xdr:rowOff>
    </xdr:from>
    <xdr:to>
      <xdr:col>28</xdr:col>
      <xdr:colOff>390525</xdr:colOff>
      <xdr:row>33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6953250" y="4410075"/>
          <a:ext cx="1819275" cy="1428750"/>
        </a:xfrm>
        <a:prstGeom prst="wedgeRoundRectCallout">
          <a:avLst>
            <a:gd name="adj1" fmla="val -103402"/>
            <a:gd name="adj2" fmla="val 319"/>
          </a:avLst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HUOM !!!
</a:t>
          </a:r>
          <a:r>
            <a:rPr lang="en-US" cap="none" sz="1000" b="0" i="0" u="none" baseline="0">
              <a:solidFill>
                <a:srgbClr val="000000"/>
              </a:solidFill>
            </a:rPr>
            <a:t>Latvussuhteen laskemisessa jätä ko.puulajista ''tyhjät" koealat tyhjäksi myös taulukossa. Jos puulaji puuttuu kokonaan, niin merkitse se nollilla taulukkoon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20</xdr:row>
      <xdr:rowOff>238125</xdr:rowOff>
    </xdr:from>
    <xdr:to>
      <xdr:col>4</xdr:col>
      <xdr:colOff>457200</xdr:colOff>
      <xdr:row>25</xdr:row>
      <xdr:rowOff>47625</xdr:rowOff>
    </xdr:to>
    <xdr:sp>
      <xdr:nvSpPr>
        <xdr:cNvPr id="1" name="AutoShape 26"/>
        <xdr:cNvSpPr>
          <a:spLocks/>
        </xdr:cNvSpPr>
      </xdr:nvSpPr>
      <xdr:spPr>
        <a:xfrm>
          <a:off x="1733550" y="4295775"/>
          <a:ext cx="438150" cy="1143000"/>
        </a:xfrm>
        <a:prstGeom prst="rightArrowCallou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35</xdr:row>
      <xdr:rowOff>238125</xdr:rowOff>
    </xdr:from>
    <xdr:to>
      <xdr:col>4</xdr:col>
      <xdr:colOff>457200</xdr:colOff>
      <xdr:row>40</xdr:row>
      <xdr:rowOff>0</xdr:rowOff>
    </xdr:to>
    <xdr:sp>
      <xdr:nvSpPr>
        <xdr:cNvPr id="2" name="AutoShape 36"/>
        <xdr:cNvSpPr>
          <a:spLocks/>
        </xdr:cNvSpPr>
      </xdr:nvSpPr>
      <xdr:spPr>
        <a:xfrm>
          <a:off x="1752600" y="7810500"/>
          <a:ext cx="419100" cy="1095375"/>
        </a:xfrm>
        <a:prstGeom prst="rightArrowCallou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19</xdr:row>
      <xdr:rowOff>9525</xdr:rowOff>
    </xdr:from>
    <xdr:to>
      <xdr:col>3</xdr:col>
      <xdr:colOff>438150</xdr:colOff>
      <xdr:row>21</xdr:row>
      <xdr:rowOff>257175</xdr:rowOff>
    </xdr:to>
    <xdr:sp>
      <xdr:nvSpPr>
        <xdr:cNvPr id="3" name="AutoShape 39"/>
        <xdr:cNvSpPr>
          <a:spLocks/>
        </xdr:cNvSpPr>
      </xdr:nvSpPr>
      <xdr:spPr>
        <a:xfrm>
          <a:off x="200025" y="3857625"/>
          <a:ext cx="1485900" cy="723900"/>
        </a:xfrm>
        <a:prstGeom prst="wedgeRoundRectCallout">
          <a:avLst>
            <a:gd name="adj1" fmla="val 47435"/>
            <a:gd name="adj2" fmla="val 9156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Harvennuspoistuman puut, joiden rinnankorkeusläpimitta on yli 8 cm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104775</xdr:colOff>
      <xdr:row>34</xdr:row>
      <xdr:rowOff>47625</xdr:rowOff>
    </xdr:from>
    <xdr:to>
      <xdr:col>3</xdr:col>
      <xdr:colOff>428625</xdr:colOff>
      <xdr:row>37</xdr:row>
      <xdr:rowOff>57150</xdr:rowOff>
    </xdr:to>
    <xdr:sp>
      <xdr:nvSpPr>
        <xdr:cNvPr id="4" name="AutoShape 41"/>
        <xdr:cNvSpPr>
          <a:spLocks/>
        </xdr:cNvSpPr>
      </xdr:nvSpPr>
      <xdr:spPr>
        <a:xfrm>
          <a:off x="190500" y="7410450"/>
          <a:ext cx="1485900" cy="752475"/>
        </a:xfrm>
        <a:prstGeom prst="wedgeRoundRectCallout">
          <a:avLst>
            <a:gd name="adj1" fmla="val 51921"/>
            <a:gd name="adj2" fmla="val 9050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Harvennuspoistuman puut, joiden rinnankorkeusläpimitta on 4 - 8 cm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6:K31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6384" width="9.140625" style="5" customWidth="1"/>
  </cols>
  <sheetData>
    <row r="1" s="1" customFormat="1" ht="12.75"/>
    <row r="2" s="2" customFormat="1" ht="12.75"/>
    <row r="3" s="3" customFormat="1" ht="12.75"/>
    <row r="6" spans="9:11" ht="51.75">
      <c r="I6" s="20" t="s">
        <v>51</v>
      </c>
      <c r="J6" s="4"/>
      <c r="K6" s="4"/>
    </row>
    <row r="7" spans="9:11" ht="51.75">
      <c r="I7" s="20" t="s">
        <v>53</v>
      </c>
      <c r="J7" s="25"/>
      <c r="K7" s="4"/>
    </row>
    <row r="21" ht="10.5" customHeight="1"/>
    <row r="28" ht="16.5">
      <c r="I28" s="21" t="s">
        <v>1</v>
      </c>
    </row>
    <row r="29" ht="16.5">
      <c r="I29" s="21" t="s">
        <v>52</v>
      </c>
    </row>
    <row r="30" spans="7:11" ht="15.75">
      <c r="G30" s="6"/>
      <c r="H30" s="22"/>
      <c r="I30" s="24" t="s">
        <v>0</v>
      </c>
      <c r="J30" s="7"/>
      <c r="K30" s="6"/>
    </row>
    <row r="31" spans="7:11" ht="15">
      <c r="G31" s="6"/>
      <c r="H31" s="8"/>
      <c r="I31" s="23" t="s">
        <v>81</v>
      </c>
      <c r="J31" s="8"/>
      <c r="K31" s="6"/>
    </row>
    <row r="33" s="3" customFormat="1" ht="12.75"/>
    <row r="34" s="2" customFormat="1" ht="12.75"/>
    <row r="35" s="1" customFormat="1" ht="12.75"/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zoomScalePageLayoutView="0" workbookViewId="0" topLeftCell="B1">
      <selection activeCell="F10" sqref="F10"/>
    </sheetView>
  </sheetViews>
  <sheetFormatPr defaultColWidth="9.140625" defaultRowHeight="12.75"/>
  <cols>
    <col min="1" max="1" width="4.00390625" style="5" customWidth="1"/>
    <col min="2" max="2" width="4.421875" style="5" customWidth="1"/>
    <col min="3" max="3" width="4.28125" style="5" customWidth="1"/>
    <col min="4" max="4" width="36.140625" style="5" customWidth="1"/>
    <col min="5" max="7" width="9.140625" style="5" customWidth="1"/>
    <col min="8" max="8" width="12.8515625" style="5" customWidth="1"/>
    <col min="9" max="9" width="9.57421875" style="10" hidden="1" customWidth="1"/>
    <col min="10" max="10" width="8.7109375" style="10" hidden="1" customWidth="1"/>
    <col min="11" max="11" width="8.8515625" style="10" hidden="1" customWidth="1"/>
    <col min="12" max="12" width="16.140625" style="10" hidden="1" customWidth="1"/>
    <col min="13" max="13" width="27.7109375" style="5" hidden="1" customWidth="1"/>
    <col min="14" max="24" width="9.140625" style="5" hidden="1" customWidth="1"/>
    <col min="25" max="16384" width="9.140625" style="5" customWidth="1"/>
  </cols>
  <sheetData>
    <row r="1" spans="9:12" s="1" customFormat="1" ht="12.75">
      <c r="I1" s="9"/>
      <c r="J1" s="9"/>
      <c r="K1" s="9"/>
      <c r="L1" s="9"/>
    </row>
    <row r="2" ht="23.25">
      <c r="B2" s="26" t="s">
        <v>80</v>
      </c>
    </row>
    <row r="3" spans="9:12" s="1" customFormat="1" ht="12.75">
      <c r="I3" s="9"/>
      <c r="J3" s="9"/>
      <c r="K3" s="9"/>
      <c r="L3" s="9"/>
    </row>
    <row r="5" ht="12.75">
      <c r="D5" s="182" t="s">
        <v>83</v>
      </c>
    </row>
    <row r="6" ht="12.75">
      <c r="D6" s="182" t="s">
        <v>84</v>
      </c>
    </row>
    <row r="8" spans="4:8" ht="13.5" thickBot="1">
      <c r="D8" s="161"/>
      <c r="E8" s="144" t="s">
        <v>2</v>
      </c>
      <c r="F8" s="144" t="s">
        <v>59</v>
      </c>
      <c r="G8" s="144" t="s">
        <v>4</v>
      </c>
      <c r="H8" s="144" t="s">
        <v>5</v>
      </c>
    </row>
    <row r="9" spans="4:13" ht="14.25" thickBot="1" thickTop="1">
      <c r="D9" s="169" t="s">
        <v>60</v>
      </c>
      <c r="E9" s="177">
        <v>0</v>
      </c>
      <c r="F9" s="177">
        <v>0</v>
      </c>
      <c r="G9" s="177">
        <v>8</v>
      </c>
      <c r="H9" s="177">
        <v>15</v>
      </c>
      <c r="I9" s="144" t="s">
        <v>61</v>
      </c>
      <c r="J9" s="144" t="s">
        <v>62</v>
      </c>
      <c r="K9" s="144" t="s">
        <v>63</v>
      </c>
      <c r="L9" s="144" t="s">
        <v>64</v>
      </c>
      <c r="M9" s="161"/>
    </row>
    <row r="10" spans="4:16" ht="14.25" thickBot="1" thickTop="1">
      <c r="D10" s="170" t="s">
        <v>60</v>
      </c>
      <c r="E10" s="177">
        <v>4</v>
      </c>
      <c r="F10" s="177">
        <v>0</v>
      </c>
      <c r="G10" s="177">
        <v>9</v>
      </c>
      <c r="H10" s="177">
        <v>15</v>
      </c>
      <c r="I10" s="145">
        <f>I11/(I11+J11+K11+L11)</f>
        <v>0.05405405405405404</v>
      </c>
      <c r="J10" s="145">
        <f>J11/(I11+J11+K11+L11)</f>
        <v>0</v>
      </c>
      <c r="K10" s="145">
        <f>K11/(I11+J11+K11+L11)</f>
        <v>0.3648648648648648</v>
      </c>
      <c r="L10" s="145">
        <f>L11/(I11+J11+K11+L11)</f>
        <v>0.581081081081081</v>
      </c>
      <c r="M10" s="146" t="s">
        <v>65</v>
      </c>
      <c r="N10" s="161"/>
      <c r="O10" s="161"/>
      <c r="P10" s="161"/>
    </row>
    <row r="11" spans="4:16" ht="14.25" thickBot="1" thickTop="1">
      <c r="D11" s="171" t="s">
        <v>60</v>
      </c>
      <c r="E11" s="178">
        <v>0</v>
      </c>
      <c r="F11" s="178">
        <v>0</v>
      </c>
      <c r="G11" s="178">
        <v>10</v>
      </c>
      <c r="H11" s="178">
        <v>13</v>
      </c>
      <c r="I11" s="147">
        <f>AVERAGE(E9:E11)*200</f>
        <v>266.66666666666663</v>
      </c>
      <c r="J11" s="147">
        <f>AVERAGE(F9:F11)*200</f>
        <v>0</v>
      </c>
      <c r="K11" s="147">
        <f>AVERAGE(G9:G11)*200</f>
        <v>1800</v>
      </c>
      <c r="L11" s="147">
        <f>AVERAGE(H9:H11)*200</f>
        <v>2866.666666666667</v>
      </c>
      <c r="M11" s="146" t="s">
        <v>66</v>
      </c>
      <c r="N11" s="146" t="s">
        <v>67</v>
      </c>
      <c r="O11" s="147">
        <f>I11+J11+K11+L11</f>
        <v>4933.333333333334</v>
      </c>
      <c r="P11" s="149">
        <f>O11/O15</f>
        <v>0.7872340425531915</v>
      </c>
    </row>
    <row r="12" spans="4:16" ht="14.25" thickBot="1" thickTop="1">
      <c r="D12" s="162" t="s">
        <v>76</v>
      </c>
      <c r="E12" s="138">
        <v>0</v>
      </c>
      <c r="F12" s="138">
        <v>2</v>
      </c>
      <c r="G12" s="138">
        <v>2</v>
      </c>
      <c r="H12" s="138">
        <v>2</v>
      </c>
      <c r="I12" s="144" t="s">
        <v>61</v>
      </c>
      <c r="J12" s="144" t="s">
        <v>62</v>
      </c>
      <c r="K12" s="144" t="s">
        <v>63</v>
      </c>
      <c r="L12" s="144" t="s">
        <v>64</v>
      </c>
      <c r="M12" s="163"/>
      <c r="O12" s="10"/>
      <c r="P12" s="10"/>
    </row>
    <row r="13" spans="4:16" ht="14.25" thickBot="1" thickTop="1">
      <c r="D13" s="162" t="s">
        <v>76</v>
      </c>
      <c r="E13" s="138">
        <v>2</v>
      </c>
      <c r="F13" s="138">
        <v>2</v>
      </c>
      <c r="G13" s="138">
        <v>2</v>
      </c>
      <c r="H13" s="138">
        <v>2</v>
      </c>
      <c r="I13" s="145">
        <f>I14/(I14+J14+K14+L14)</f>
        <v>0.09999999999999999</v>
      </c>
      <c r="J13" s="145">
        <f>J14/(I14+J14+K14+L14)</f>
        <v>0.30000000000000004</v>
      </c>
      <c r="K13" s="145">
        <f>K14/(I14+J14+K14+L14)</f>
        <v>0.30000000000000004</v>
      </c>
      <c r="L13" s="145">
        <f>L14/(I14+J14+K14+L14)</f>
        <v>0.30000000000000004</v>
      </c>
      <c r="M13" s="146" t="s">
        <v>65</v>
      </c>
      <c r="N13" s="161"/>
      <c r="O13" s="164"/>
      <c r="P13" s="164"/>
    </row>
    <row r="14" spans="4:16" ht="14.25" thickBot="1" thickTop="1">
      <c r="D14" s="165" t="s">
        <v>76</v>
      </c>
      <c r="E14" s="139">
        <v>0</v>
      </c>
      <c r="F14" s="139">
        <v>2</v>
      </c>
      <c r="G14" s="139">
        <v>2</v>
      </c>
      <c r="H14" s="139">
        <v>2</v>
      </c>
      <c r="I14" s="147">
        <f>AVERAGE(E12:E14)*200</f>
        <v>133.33333333333331</v>
      </c>
      <c r="J14" s="147">
        <f>AVERAGE(F12:F14)*200</f>
        <v>400</v>
      </c>
      <c r="K14" s="147">
        <f>AVERAGE(G12:G14)*200</f>
        <v>400</v>
      </c>
      <c r="L14" s="147">
        <f>AVERAGE(H12:H14)*200</f>
        <v>400</v>
      </c>
      <c r="M14" s="146" t="s">
        <v>66</v>
      </c>
      <c r="N14" s="146" t="s">
        <v>67</v>
      </c>
      <c r="O14" s="147">
        <f>I14+J14+K14+L14</f>
        <v>1333.3333333333333</v>
      </c>
      <c r="P14" s="149">
        <f>O14/O15</f>
        <v>0.21276595744680848</v>
      </c>
    </row>
    <row r="15" spans="4:16" ht="13.5" thickTop="1">
      <c r="D15" s="170" t="s">
        <v>68</v>
      </c>
      <c r="E15" s="177"/>
      <c r="F15" s="177">
        <v>0</v>
      </c>
      <c r="G15" s="177">
        <v>10</v>
      </c>
      <c r="H15" s="177">
        <v>11</v>
      </c>
      <c r="I15" s="173">
        <f>IF((I17)&lt;=0,0.01,(I17))</f>
        <v>11</v>
      </c>
      <c r="J15" s="173">
        <f>IF((J17)&lt;=0,0.01,(J17))</f>
        <v>0.01</v>
      </c>
      <c r="K15" s="173">
        <f>IF((K17)&lt;=0,0.01,(K17))</f>
        <v>10.333333333333334</v>
      </c>
      <c r="L15" s="173">
        <f>IF((L17)&lt;=0,0.01,(L17))</f>
        <v>11.333333333333334</v>
      </c>
      <c r="M15" s="131"/>
      <c r="O15" s="167">
        <f>O11+O14</f>
        <v>6266.666666666667</v>
      </c>
      <c r="P15" s="10"/>
    </row>
    <row r="16" spans="4:13" ht="13.5" thickBot="1">
      <c r="D16" s="170" t="s">
        <v>68</v>
      </c>
      <c r="E16" s="177">
        <v>11</v>
      </c>
      <c r="F16" s="177">
        <v>0</v>
      </c>
      <c r="G16" s="177">
        <v>10</v>
      </c>
      <c r="H16" s="177">
        <v>11</v>
      </c>
      <c r="I16" s="144" t="s">
        <v>61</v>
      </c>
      <c r="J16" s="144" t="s">
        <v>62</v>
      </c>
      <c r="K16" s="144" t="s">
        <v>63</v>
      </c>
      <c r="L16" s="144" t="s">
        <v>64</v>
      </c>
      <c r="M16" s="146"/>
    </row>
    <row r="17" spans="4:13" ht="14.25" thickBot="1" thickTop="1">
      <c r="D17" s="171" t="s">
        <v>68</v>
      </c>
      <c r="E17" s="178"/>
      <c r="F17" s="178">
        <v>0</v>
      </c>
      <c r="G17" s="178">
        <v>11</v>
      </c>
      <c r="H17" s="178">
        <v>12</v>
      </c>
      <c r="I17" s="148">
        <f>AVERAGE(E15:E17)</f>
        <v>11</v>
      </c>
      <c r="J17" s="148">
        <f>AVERAGE(F15:F17)</f>
        <v>0</v>
      </c>
      <c r="K17" s="148">
        <f>AVERAGE(G15:G17)</f>
        <v>10.333333333333334</v>
      </c>
      <c r="L17" s="148">
        <f>AVERAGE(H15:H17)</f>
        <v>11.333333333333334</v>
      </c>
      <c r="M17" s="146" t="s">
        <v>69</v>
      </c>
    </row>
    <row r="18" spans="4:13" ht="13.5" thickTop="1">
      <c r="D18" s="175" t="s">
        <v>77</v>
      </c>
      <c r="E18" s="138"/>
      <c r="F18" s="138">
        <v>7</v>
      </c>
      <c r="G18" s="138">
        <v>7</v>
      </c>
      <c r="H18" s="138">
        <v>7</v>
      </c>
      <c r="I18" s="173">
        <f>IF((I20)&lt;=0,0.01,(I20))</f>
        <v>7</v>
      </c>
      <c r="J18" s="173">
        <f>IF((J20)&lt;=0,0.01,(J20))</f>
        <v>6.333333333333333</v>
      </c>
      <c r="K18" s="173">
        <f>IF((K20)&lt;=0,0.01,(K20))</f>
        <v>6.333333333333333</v>
      </c>
      <c r="L18" s="173">
        <f>IF((L20)&lt;=0,0.01,(L20))</f>
        <v>7.333333333333333</v>
      </c>
      <c r="M18" s="131"/>
    </row>
    <row r="19" spans="4:13" ht="13.5" thickBot="1">
      <c r="D19" s="175" t="s">
        <v>77</v>
      </c>
      <c r="E19" s="138">
        <v>7</v>
      </c>
      <c r="F19" s="138">
        <v>6</v>
      </c>
      <c r="G19" s="138">
        <v>5</v>
      </c>
      <c r="H19" s="138">
        <v>8</v>
      </c>
      <c r="I19" s="144" t="s">
        <v>61</v>
      </c>
      <c r="J19" s="144" t="s">
        <v>62</v>
      </c>
      <c r="K19" s="144" t="s">
        <v>63</v>
      </c>
      <c r="L19" s="144" t="s">
        <v>64</v>
      </c>
      <c r="M19" s="146"/>
    </row>
    <row r="20" spans="4:13" ht="14.25" thickBot="1" thickTop="1">
      <c r="D20" s="176" t="s">
        <v>77</v>
      </c>
      <c r="E20" s="139"/>
      <c r="F20" s="139">
        <v>6</v>
      </c>
      <c r="G20" s="139">
        <v>7</v>
      </c>
      <c r="H20" s="139">
        <v>7</v>
      </c>
      <c r="I20" s="148">
        <f>AVERAGE(E18:E20)</f>
        <v>7</v>
      </c>
      <c r="J20" s="148">
        <f>AVERAGE(F18:F20)</f>
        <v>6.333333333333333</v>
      </c>
      <c r="K20" s="148">
        <f>AVERAGE(G18:G20)</f>
        <v>6.333333333333333</v>
      </c>
      <c r="L20" s="148">
        <f>AVERAGE(H18:H20)</f>
        <v>7.333333333333333</v>
      </c>
      <c r="M20" s="146" t="s">
        <v>69</v>
      </c>
    </row>
    <row r="21" spans="4:13" ht="13.5" thickTop="1">
      <c r="D21" s="169" t="s">
        <v>70</v>
      </c>
      <c r="E21" s="177"/>
      <c r="F21" s="177">
        <v>0</v>
      </c>
      <c r="G21" s="177">
        <v>10</v>
      </c>
      <c r="H21" s="177">
        <v>8</v>
      </c>
      <c r="I21" s="168"/>
      <c r="J21" s="168"/>
      <c r="K21" s="168"/>
      <c r="L21" s="168"/>
      <c r="M21" s="131"/>
    </row>
    <row r="22" spans="4:13" ht="13.5" thickBot="1">
      <c r="D22" s="170" t="s">
        <v>70</v>
      </c>
      <c r="E22" s="177">
        <v>10</v>
      </c>
      <c r="F22" s="177">
        <v>0</v>
      </c>
      <c r="G22" s="177">
        <v>8</v>
      </c>
      <c r="H22" s="177">
        <v>9</v>
      </c>
      <c r="I22" s="144" t="s">
        <v>61</v>
      </c>
      <c r="J22" s="144" t="s">
        <v>62</v>
      </c>
      <c r="K22" s="144" t="s">
        <v>63</v>
      </c>
      <c r="L22" s="144" t="s">
        <v>64</v>
      </c>
      <c r="M22" s="146"/>
    </row>
    <row r="23" spans="4:13" ht="14.25" thickBot="1" thickTop="1">
      <c r="D23" s="171" t="s">
        <v>70</v>
      </c>
      <c r="E23" s="178"/>
      <c r="F23" s="178">
        <v>0</v>
      </c>
      <c r="G23" s="178">
        <v>8</v>
      </c>
      <c r="H23" s="178">
        <v>8</v>
      </c>
      <c r="I23" s="148">
        <f>AVERAGE(E21:E23)</f>
        <v>10</v>
      </c>
      <c r="J23" s="148">
        <f>AVERAGE(F21:F23)</f>
        <v>0</v>
      </c>
      <c r="K23" s="148">
        <f>AVERAGE(G21:G23)</f>
        <v>8.666666666666666</v>
      </c>
      <c r="L23" s="148">
        <f>AVERAGE(H21:H23)</f>
        <v>8.333333333333334</v>
      </c>
      <c r="M23" s="146" t="s">
        <v>71</v>
      </c>
    </row>
    <row r="24" spans="4:13" ht="13.5" thickTop="1">
      <c r="D24" s="175" t="s">
        <v>78</v>
      </c>
      <c r="E24" s="138"/>
      <c r="F24" s="138">
        <v>4</v>
      </c>
      <c r="G24" s="138">
        <v>5</v>
      </c>
      <c r="H24" s="138">
        <v>5</v>
      </c>
      <c r="I24" s="166"/>
      <c r="J24" s="166"/>
      <c r="K24" s="166"/>
      <c r="L24" s="166"/>
      <c r="M24" s="131"/>
    </row>
    <row r="25" spans="4:13" ht="13.5" thickBot="1">
      <c r="D25" s="175" t="s">
        <v>78</v>
      </c>
      <c r="E25" s="138">
        <v>5</v>
      </c>
      <c r="F25" s="138">
        <v>4</v>
      </c>
      <c r="G25" s="138">
        <v>5</v>
      </c>
      <c r="H25" s="138">
        <v>5</v>
      </c>
      <c r="I25" s="144" t="s">
        <v>61</v>
      </c>
      <c r="J25" s="144" t="s">
        <v>62</v>
      </c>
      <c r="K25" s="144" t="s">
        <v>63</v>
      </c>
      <c r="L25" s="144" t="s">
        <v>64</v>
      </c>
      <c r="M25" s="146"/>
    </row>
    <row r="26" spans="4:13" ht="14.25" thickBot="1" thickTop="1">
      <c r="D26" s="176" t="s">
        <v>78</v>
      </c>
      <c r="E26" s="139"/>
      <c r="F26" s="139">
        <v>4</v>
      </c>
      <c r="G26" s="139">
        <v>5</v>
      </c>
      <c r="H26" s="139">
        <v>5</v>
      </c>
      <c r="I26" s="148">
        <f>AVERAGE(E24:E26)</f>
        <v>5</v>
      </c>
      <c r="J26" s="148">
        <f>AVERAGE(F24:F26)</f>
        <v>4</v>
      </c>
      <c r="K26" s="148">
        <f>AVERAGE(G24:G26)</f>
        <v>5</v>
      </c>
      <c r="L26" s="148">
        <f>AVERAGE(H24:H26)</f>
        <v>5</v>
      </c>
      <c r="M26" s="146" t="s">
        <v>71</v>
      </c>
    </row>
    <row r="27" spans="4:13" ht="13.5" thickTop="1">
      <c r="D27" s="169" t="s">
        <v>72</v>
      </c>
      <c r="E27" s="179"/>
      <c r="F27" s="179">
        <v>0</v>
      </c>
      <c r="G27" s="179">
        <v>0.35</v>
      </c>
      <c r="H27" s="179">
        <v>0.4</v>
      </c>
      <c r="I27" s="174">
        <f>IF((I29)&lt;=0,0.001,(I29))</f>
        <v>0.28</v>
      </c>
      <c r="J27" s="174">
        <f>IF((J29)&lt;=0,0.001,(J29))</f>
        <v>0.001</v>
      </c>
      <c r="K27" s="174">
        <f>IF((K29)&lt;=0,0.001,(K29))</f>
        <v>0.3499999999999999</v>
      </c>
      <c r="L27" s="174">
        <f>IF((L29)&lt;=0,0.001,(L29))</f>
        <v>0.4000000000000001</v>
      </c>
      <c r="M27" s="131"/>
    </row>
    <row r="28" spans="4:13" ht="13.5" thickBot="1">
      <c r="D28" s="170" t="s">
        <v>72</v>
      </c>
      <c r="E28" s="179">
        <v>0.28</v>
      </c>
      <c r="F28" s="179">
        <v>0</v>
      </c>
      <c r="G28" s="179">
        <v>0.35</v>
      </c>
      <c r="H28" s="179">
        <v>0.4</v>
      </c>
      <c r="I28" s="144" t="s">
        <v>61</v>
      </c>
      <c r="J28" s="144" t="s">
        <v>62</v>
      </c>
      <c r="K28" s="144" t="s">
        <v>63</v>
      </c>
      <c r="L28" s="144" t="s">
        <v>64</v>
      </c>
      <c r="M28" s="146"/>
    </row>
    <row r="29" spans="4:13" ht="14.25" thickBot="1" thickTop="1">
      <c r="D29" s="171" t="s">
        <v>72</v>
      </c>
      <c r="E29" s="180"/>
      <c r="F29" s="180">
        <v>0</v>
      </c>
      <c r="G29" s="180">
        <v>0.35</v>
      </c>
      <c r="H29" s="180">
        <v>0.4</v>
      </c>
      <c r="I29" s="149">
        <f>AVERAGE(E27:E29)</f>
        <v>0.28</v>
      </c>
      <c r="J29" s="149">
        <f>AVERAGE(F27:F29)</f>
        <v>0</v>
      </c>
      <c r="K29" s="149">
        <f>AVERAGE(G27:G29)</f>
        <v>0.3499999999999999</v>
      </c>
      <c r="L29" s="149">
        <f>AVERAGE(H27:H29)</f>
        <v>0.4000000000000001</v>
      </c>
      <c r="M29" s="146" t="s">
        <v>39</v>
      </c>
    </row>
    <row r="30" spans="4:13" ht="13.5" thickTop="1">
      <c r="D30" s="175" t="s">
        <v>79</v>
      </c>
      <c r="E30" s="140"/>
      <c r="F30" s="140">
        <v>0.7</v>
      </c>
      <c r="G30" s="140">
        <v>0.4</v>
      </c>
      <c r="H30" s="140">
        <v>0.35</v>
      </c>
      <c r="I30" s="174">
        <f>IF((I32)&lt;=0,0.001,(I32))</f>
        <v>0.2</v>
      </c>
      <c r="J30" s="174">
        <f>IF((J32)&lt;=0,0.001,(J32))</f>
        <v>0.6999999999999998</v>
      </c>
      <c r="K30" s="174">
        <f>IF((K32)&lt;=0,0.001,(K32))</f>
        <v>0.4000000000000001</v>
      </c>
      <c r="L30" s="174">
        <f>IF((L32)&lt;=0,0.001,(L32))</f>
        <v>0.3499999999999999</v>
      </c>
      <c r="M30" s="131"/>
    </row>
    <row r="31" spans="4:13" ht="13.5" thickBot="1">
      <c r="D31" s="175" t="s">
        <v>79</v>
      </c>
      <c r="E31" s="140">
        <v>0.2</v>
      </c>
      <c r="F31" s="140">
        <v>0.7</v>
      </c>
      <c r="G31" s="140">
        <v>0.4</v>
      </c>
      <c r="H31" s="140">
        <v>0.35</v>
      </c>
      <c r="I31" s="144" t="s">
        <v>61</v>
      </c>
      <c r="J31" s="144" t="s">
        <v>62</v>
      </c>
      <c r="K31" s="144" t="s">
        <v>63</v>
      </c>
      <c r="L31" s="144" t="s">
        <v>64</v>
      </c>
      <c r="M31" s="146"/>
    </row>
    <row r="32" spans="4:13" ht="14.25" thickBot="1" thickTop="1">
      <c r="D32" s="176" t="s">
        <v>79</v>
      </c>
      <c r="E32" s="141"/>
      <c r="F32" s="141">
        <v>0.7</v>
      </c>
      <c r="G32" s="141">
        <v>0.4</v>
      </c>
      <c r="H32" s="141">
        <v>0.35</v>
      </c>
      <c r="I32" s="149">
        <f>AVERAGE(E30:E32)</f>
        <v>0.2</v>
      </c>
      <c r="J32" s="149">
        <f>AVERAGE(F30:F32)</f>
        <v>0.6999999999999998</v>
      </c>
      <c r="K32" s="149">
        <f>AVERAGE(G30:G32)</f>
        <v>0.4000000000000001</v>
      </c>
      <c r="L32" s="149">
        <f>AVERAGE(H30:H32)</f>
        <v>0.3499999999999999</v>
      </c>
      <c r="M32" s="146" t="s">
        <v>39</v>
      </c>
    </row>
    <row r="33" ht="13.5" thickTop="1"/>
    <row r="34" spans="4:5" ht="13.5" thickBot="1">
      <c r="D34" s="161" t="s">
        <v>85</v>
      </c>
      <c r="E34" s="183">
        <v>8</v>
      </c>
    </row>
    <row r="35" ht="13.5" thickTop="1"/>
    <row r="39" spans="9:12" s="1" customFormat="1" ht="12.75">
      <c r="I39" s="9"/>
      <c r="J39" s="9"/>
      <c r="K39" s="9"/>
      <c r="L39" s="9"/>
    </row>
    <row r="41" spans="9:12" s="1" customFormat="1" ht="12.75">
      <c r="I41" s="9"/>
      <c r="J41" s="9"/>
      <c r="K41" s="9"/>
      <c r="L41" s="9"/>
    </row>
  </sheetData>
  <sheetProtection sheet="1"/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L81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1.28515625" style="5" customWidth="1"/>
    <col min="2" max="2" width="7.28125" style="5" customWidth="1"/>
    <col min="3" max="3" width="10.140625" style="5" customWidth="1"/>
    <col min="4" max="4" width="7.00390625" style="5" customWidth="1"/>
    <col min="5" max="5" width="7.57421875" style="5" customWidth="1"/>
    <col min="6" max="6" width="42.00390625" style="5" customWidth="1"/>
    <col min="7" max="7" width="20.28125" style="5" customWidth="1"/>
    <col min="8" max="8" width="23.421875" style="5" customWidth="1"/>
    <col min="9" max="9" width="27.57421875" style="5" customWidth="1"/>
    <col min="10" max="10" width="22.7109375" style="5" customWidth="1"/>
    <col min="11" max="11" width="23.8515625" style="5" customWidth="1"/>
    <col min="12" max="12" width="22.57421875" style="5" customWidth="1"/>
    <col min="13" max="13" width="19.28125" style="5" customWidth="1"/>
    <col min="14" max="14" width="23.57421875" style="5" customWidth="1"/>
    <col min="15" max="15" width="18.8515625" style="5" customWidth="1"/>
    <col min="16" max="16" width="7.140625" style="5" hidden="1" customWidth="1"/>
    <col min="17" max="17" width="17.8515625" style="5" hidden="1" customWidth="1"/>
    <col min="18" max="18" width="20.140625" style="5" hidden="1" customWidth="1"/>
    <col min="19" max="19" width="19.8515625" style="5" hidden="1" customWidth="1"/>
    <col min="20" max="20" width="21.421875" style="5" hidden="1" customWidth="1"/>
    <col min="21" max="21" width="17.8515625" style="5" hidden="1" customWidth="1"/>
    <col min="22" max="22" width="20.140625" style="5" hidden="1" customWidth="1"/>
    <col min="23" max="23" width="19.8515625" style="5" hidden="1" customWidth="1"/>
    <col min="24" max="24" width="21.421875" style="5" hidden="1" customWidth="1"/>
    <col min="25" max="25" width="20.7109375" style="5" hidden="1" customWidth="1"/>
    <col min="26" max="26" width="24.28125" style="5" hidden="1" customWidth="1"/>
    <col min="27" max="27" width="27.28125" style="5" hidden="1" customWidth="1"/>
    <col min="28" max="28" width="21.421875" style="5" hidden="1" customWidth="1"/>
    <col min="29" max="29" width="20.7109375" style="5" hidden="1" customWidth="1"/>
    <col min="30" max="30" width="26.140625" style="5" hidden="1" customWidth="1"/>
    <col min="31" max="31" width="19.28125" style="5" hidden="1" customWidth="1"/>
    <col min="32" max="32" width="14.7109375" style="5" hidden="1" customWidth="1"/>
    <col min="33" max="33" width="28.140625" style="5" hidden="1" customWidth="1"/>
    <col min="34" max="34" width="27.57421875" style="5" hidden="1" customWidth="1"/>
    <col min="35" max="36" width="4.57421875" style="5" hidden="1" customWidth="1"/>
    <col min="37" max="37" width="10.00390625" style="5" hidden="1" customWidth="1"/>
    <col min="38" max="38" width="5.8515625" style="5" hidden="1" customWidth="1"/>
    <col min="39" max="39" width="6.421875" style="5" hidden="1" customWidth="1"/>
    <col min="40" max="40" width="6.7109375" style="5" hidden="1" customWidth="1"/>
    <col min="41" max="42" width="12.140625" style="5" hidden="1" customWidth="1"/>
    <col min="43" max="43" width="8.8515625" style="5" hidden="1" customWidth="1"/>
    <col min="44" max="44" width="13.8515625" style="5" hidden="1" customWidth="1"/>
    <col min="45" max="45" width="13.00390625" style="5" hidden="1" customWidth="1"/>
    <col min="46" max="46" width="8.57421875" style="5" hidden="1" customWidth="1"/>
    <col min="47" max="47" width="9.00390625" style="5" hidden="1" customWidth="1"/>
    <col min="48" max="48" width="9.7109375" style="5" hidden="1" customWidth="1"/>
    <col min="49" max="49" width="14.8515625" style="5" hidden="1" customWidth="1"/>
    <col min="50" max="50" width="11.7109375" style="5" hidden="1" customWidth="1"/>
    <col min="51" max="51" width="16.8515625" style="5" hidden="1" customWidth="1"/>
    <col min="52" max="52" width="24.140625" style="5" hidden="1" customWidth="1"/>
    <col min="53" max="53" width="15.7109375" style="5" hidden="1" customWidth="1"/>
    <col min="54" max="54" width="12.28125" style="5" hidden="1" customWidth="1"/>
    <col min="55" max="55" width="16.8515625" style="5" hidden="1" customWidth="1"/>
    <col min="56" max="56" width="27.7109375" style="5" hidden="1" customWidth="1"/>
    <col min="57" max="57" width="19.28125" style="5" hidden="1" customWidth="1"/>
    <col min="58" max="58" width="32.28125" style="5" hidden="1" customWidth="1"/>
    <col min="59" max="59" width="23.8515625" style="5" hidden="1" customWidth="1"/>
    <col min="60" max="60" width="19.8515625" style="5" hidden="1" customWidth="1"/>
    <col min="61" max="61" width="19.7109375" style="5" hidden="1" customWidth="1"/>
    <col min="62" max="62" width="31.00390625" style="10" hidden="1" customWidth="1"/>
    <col min="63" max="63" width="27.28125" style="5" hidden="1" customWidth="1"/>
    <col min="64" max="64" width="28.00390625" style="5" hidden="1" customWidth="1"/>
    <col min="65" max="68" width="0" style="5" hidden="1" customWidth="1"/>
    <col min="69" max="16384" width="9.140625" style="5" customWidth="1"/>
  </cols>
  <sheetData>
    <row r="1" s="1" customFormat="1" ht="12.75">
      <c r="BJ1" s="9"/>
    </row>
    <row r="2" ht="23.25">
      <c r="B2" s="26" t="s">
        <v>82</v>
      </c>
    </row>
    <row r="3" s="1" customFormat="1" ht="12.75">
      <c r="BJ3" s="9"/>
    </row>
    <row r="5" ht="13.5" thickBot="1">
      <c r="B5" s="131"/>
    </row>
    <row r="6" spans="2:64" s="38" customFormat="1" ht="14.25" thickBot="1" thickTop="1">
      <c r="B6" s="35"/>
      <c r="C6" s="35"/>
      <c r="D6" s="35"/>
      <c r="E6" s="35"/>
      <c r="F6" s="35"/>
      <c r="G6" s="30"/>
      <c r="J6" s="40"/>
      <c r="K6" s="24"/>
      <c r="L6" s="24"/>
      <c r="M6" s="70"/>
      <c r="N6" s="42"/>
      <c r="O6" s="42"/>
      <c r="P6" s="42"/>
      <c r="BJ6" s="80">
        <f>405*G15+G16*465+G17*500+G18*360</f>
        <v>413.51351351351343</v>
      </c>
      <c r="BK6" s="80">
        <f>385*G15+G16*400+475*G17+360*G18</f>
        <v>403.3108108108107</v>
      </c>
      <c r="BL6" s="80">
        <f>475*G15+G16*435+490*G17+G18*360</f>
        <v>413.6486486486486</v>
      </c>
    </row>
    <row r="7" spans="2:62" s="38" customFormat="1" ht="16.5" thickBot="1" thickTop="1">
      <c r="B7" s="37" t="s">
        <v>74</v>
      </c>
      <c r="C7" s="33"/>
      <c r="D7" s="33"/>
      <c r="E7" s="33"/>
      <c r="F7" s="33"/>
      <c r="G7" s="153">
        <f>'Puustotietojen keruulomake'!O15</f>
        <v>6266.666666666667</v>
      </c>
      <c r="H7" s="81"/>
      <c r="J7" s="40"/>
      <c r="K7" s="24"/>
      <c r="L7" s="24"/>
      <c r="M7" s="70"/>
      <c r="N7" s="42"/>
      <c r="O7" s="42"/>
      <c r="P7" s="42"/>
      <c r="BJ7" s="23"/>
    </row>
    <row r="8" spans="2:62" s="38" customFormat="1" ht="16.5" thickBot="1" thickTop="1">
      <c r="B8" s="29" t="s">
        <v>48</v>
      </c>
      <c r="C8" s="35"/>
      <c r="D8" s="35"/>
      <c r="E8" s="35"/>
      <c r="F8" s="35"/>
      <c r="G8" s="154">
        <f>'Puustotietojen keruulomake'!P11</f>
        <v>0.7872340425531915</v>
      </c>
      <c r="H8" s="81"/>
      <c r="J8" s="40"/>
      <c r="K8" s="24"/>
      <c r="L8" s="24"/>
      <c r="M8" s="70"/>
      <c r="N8" s="42"/>
      <c r="O8" s="42"/>
      <c r="P8" s="42"/>
      <c r="BJ8" s="23"/>
    </row>
    <row r="9" spans="2:62" s="38" customFormat="1" ht="17.25" thickBot="1" thickTop="1">
      <c r="B9" s="37" t="s">
        <v>75</v>
      </c>
      <c r="C9" s="33"/>
      <c r="D9" s="33"/>
      <c r="E9" s="33"/>
      <c r="F9" s="33"/>
      <c r="G9" s="155">
        <f>'Puustotietojen keruulomake'!P14</f>
        <v>0.21276595744680848</v>
      </c>
      <c r="H9" s="130"/>
      <c r="J9" s="40"/>
      <c r="K9" s="24"/>
      <c r="L9" s="24"/>
      <c r="M9" s="70"/>
      <c r="N9" s="42"/>
      <c r="O9" s="42"/>
      <c r="P9" s="42"/>
      <c r="BJ9" s="23"/>
    </row>
    <row r="10" spans="2:62" s="38" customFormat="1" ht="15.75" thickTop="1">
      <c r="B10" s="142" t="s">
        <v>49</v>
      </c>
      <c r="C10" s="143"/>
      <c r="D10" s="143"/>
      <c r="E10" s="143"/>
      <c r="F10" s="143"/>
      <c r="G10" s="156">
        <f>'Puustotietojen keruulomake'!E34</f>
        <v>8</v>
      </c>
      <c r="H10" s="81"/>
      <c r="J10" s="40"/>
      <c r="K10" s="24"/>
      <c r="L10" s="24"/>
      <c r="M10" s="70"/>
      <c r="N10" s="42"/>
      <c r="O10" s="42"/>
      <c r="P10" s="42"/>
      <c r="BJ10" s="23"/>
    </row>
    <row r="11" spans="2:62" s="42" customFormat="1" ht="15">
      <c r="B11" s="102"/>
      <c r="G11" s="128"/>
      <c r="H11" s="108"/>
      <c r="J11" s="40"/>
      <c r="K11" s="24"/>
      <c r="L11" s="24"/>
      <c r="M11" s="70"/>
      <c r="BJ11" s="24"/>
    </row>
    <row r="12" spans="2:62" s="38" customFormat="1" ht="15">
      <c r="B12" s="102" t="s">
        <v>43</v>
      </c>
      <c r="C12" s="102"/>
      <c r="D12" s="102"/>
      <c r="E12" s="42"/>
      <c r="F12" s="42"/>
      <c r="G12" s="105"/>
      <c r="H12" s="81"/>
      <c r="J12" s="40"/>
      <c r="K12" s="24"/>
      <c r="L12" s="24"/>
      <c r="M12" s="70"/>
      <c r="N12" s="42"/>
      <c r="O12" s="42"/>
      <c r="P12" s="42"/>
      <c r="BJ12" s="23"/>
    </row>
    <row r="13" spans="2:64" s="38" customFormat="1" ht="15">
      <c r="B13" s="102"/>
      <c r="C13" s="102"/>
      <c r="D13" s="102"/>
      <c r="E13" s="42"/>
      <c r="F13" s="42"/>
      <c r="G13" s="105"/>
      <c r="H13" s="81"/>
      <c r="J13" s="40"/>
      <c r="K13" s="24"/>
      <c r="L13" s="24"/>
      <c r="M13" s="70"/>
      <c r="N13" s="42"/>
      <c r="O13" s="42"/>
      <c r="P13" s="42"/>
      <c r="BJ13" s="24"/>
      <c r="BK13" s="42"/>
      <c r="BL13" s="42"/>
    </row>
    <row r="14" spans="2:64" s="38" customFormat="1" ht="16.5" thickBot="1">
      <c r="B14" s="41"/>
      <c r="C14" s="41"/>
      <c r="D14" s="41"/>
      <c r="E14" s="41"/>
      <c r="F14" s="41"/>
      <c r="G14" s="36"/>
      <c r="H14" s="42"/>
      <c r="AE14" s="44" t="s">
        <v>7</v>
      </c>
      <c r="AF14" s="45" t="s">
        <v>6</v>
      </c>
      <c r="AG14" s="46" t="s">
        <v>8</v>
      </c>
      <c r="AH14" s="46" t="s">
        <v>9</v>
      </c>
      <c r="AI14" s="47" t="s">
        <v>37</v>
      </c>
      <c r="AJ14" s="47" t="s">
        <v>38</v>
      </c>
      <c r="AK14" s="47" t="s">
        <v>10</v>
      </c>
      <c r="AL14" s="47" t="s">
        <v>11</v>
      </c>
      <c r="AM14" s="48" t="s">
        <v>12</v>
      </c>
      <c r="AN14" s="48" t="s">
        <v>13</v>
      </c>
      <c r="AO14" s="48" t="s">
        <v>14</v>
      </c>
      <c r="AP14" s="48" t="s">
        <v>15</v>
      </c>
      <c r="AQ14" s="48" t="s">
        <v>16</v>
      </c>
      <c r="AR14" s="48" t="s">
        <v>17</v>
      </c>
      <c r="AS14" s="49" t="s">
        <v>18</v>
      </c>
      <c r="AT14" s="49" t="s">
        <v>19</v>
      </c>
      <c r="AU14" s="49" t="s">
        <v>20</v>
      </c>
      <c r="AV14" s="49" t="s">
        <v>21</v>
      </c>
      <c r="AW14" s="49" t="s">
        <v>22</v>
      </c>
      <c r="AX14" s="49" t="s">
        <v>23</v>
      </c>
      <c r="AY14" s="49" t="s">
        <v>24</v>
      </c>
      <c r="AZ14" s="50" t="s">
        <v>25</v>
      </c>
      <c r="BA14" s="50" t="s">
        <v>26</v>
      </c>
      <c r="BB14" s="51" t="s">
        <v>28</v>
      </c>
      <c r="BC14" s="52" t="s">
        <v>29</v>
      </c>
      <c r="BD14" s="53" t="s">
        <v>30</v>
      </c>
      <c r="BE14" s="53" t="s">
        <v>31</v>
      </c>
      <c r="BF14" s="53" t="s">
        <v>32</v>
      </c>
      <c r="BG14" s="53" t="s">
        <v>33</v>
      </c>
      <c r="BH14" s="54" t="s">
        <v>34</v>
      </c>
      <c r="BI14" s="54" t="s">
        <v>35</v>
      </c>
      <c r="BJ14" s="69"/>
      <c r="BK14" s="40"/>
      <c r="BL14" s="40"/>
    </row>
    <row r="15" spans="2:64" s="38" customFormat="1" ht="17.25" thickBot="1" thickTop="1">
      <c r="B15" s="37" t="s">
        <v>44</v>
      </c>
      <c r="C15" s="31"/>
      <c r="D15" s="31"/>
      <c r="E15" s="32"/>
      <c r="F15" s="33"/>
      <c r="G15" s="157">
        <f>'Puustotietojen keruulomake'!I10</f>
        <v>0.05405405405405404</v>
      </c>
      <c r="AD15" s="38" t="str">
        <f aca="true" t="shared" si="0" ref="AD15:AG18">F22</f>
        <v>Mänty</v>
      </c>
      <c r="AE15" s="56">
        <f>G22*H22</f>
        <v>3.08</v>
      </c>
      <c r="AF15" s="56">
        <f t="shared" si="0"/>
        <v>11</v>
      </c>
      <c r="AG15" s="56">
        <f t="shared" si="0"/>
        <v>10</v>
      </c>
      <c r="AH15" s="123">
        <f>AG15</f>
        <v>10</v>
      </c>
      <c r="AI15" s="57">
        <f>(2+1.25*AH15)/((2+1.25*AH15)+14)</f>
        <v>0.5087719298245614</v>
      </c>
      <c r="AJ15" s="57">
        <f>(AF15/(AF15+12))</f>
        <v>0.4782608695652174</v>
      </c>
      <c r="AK15" s="57">
        <f>-3.778+8.294*AI15+4.949*AJ15+(0.002+0.008)/2</f>
        <v>2.813667429443173</v>
      </c>
      <c r="AL15" s="57">
        <f>-4.756+8.616*(2+1.25*AH15)/((2+1.25*AH15)+12)+0.277*LN(AF15)+(0.013+0.054)/2</f>
        <v>0.6561320849047706</v>
      </c>
      <c r="AM15" s="58">
        <f>-6.739+12.658*(2+1.25*AH15)/((2+1.25*AH15)+12)+((0.009+0.044)/2)</f>
        <v>0.21357547169811356</v>
      </c>
      <c r="AN15" s="58">
        <f>-9.601+15.931*(2+1.25*AH15)/((2+1.25*AH15)+8)+((0.065)/2)</f>
        <v>0.6981444444444425</v>
      </c>
      <c r="AO15" s="58">
        <f>AE15/AF15</f>
        <v>0.28</v>
      </c>
      <c r="AP15" s="58">
        <f>(-5.224+13.022*((2+1.25*AH15)/((2+1.25*AH15)+12))-4.867*(AF15/(AF15+8))+((0.02+0.067)/2))+1.058*LN(AE15)</f>
        <v>0.3171839545242451</v>
      </c>
      <c r="AQ15" s="58">
        <f>(-2.385+15.022*((2+1.25*AH15)/((2+1.25*AH15)+4))-11.979*(AF15/(AF15+1))+((0.034+0.95)/2))+1.116*LN(AE15)</f>
        <v>0.1556714302358</v>
      </c>
      <c r="AR15" s="58">
        <f>(-5.334+10.789*((2+1.25*AH15)/((2+1.25*AH15)+16)))+(((0.271+0.327)/2))</f>
        <v>0.09419672131147527</v>
      </c>
      <c r="AS15" s="58">
        <f>EXP(AK15)</f>
        <v>16.67094576061096</v>
      </c>
      <c r="AT15" s="58">
        <f aca="true" t="shared" si="1" ref="AS15:AV18">EXP(AL15)</f>
        <v>1.9273231762724286</v>
      </c>
      <c r="AU15" s="58">
        <f t="shared" si="1"/>
        <v>1.2380969360202794</v>
      </c>
      <c r="AV15" s="58">
        <f t="shared" si="1"/>
        <v>2.010019542065648</v>
      </c>
      <c r="AW15" s="57">
        <f aca="true" t="shared" si="2" ref="AW15:AY18">EXP(AP15)</f>
        <v>1.3732551651924894</v>
      </c>
      <c r="AX15" s="57">
        <f t="shared" si="2"/>
        <v>1.1684422252251419</v>
      </c>
      <c r="AY15" s="57">
        <f t="shared" si="2"/>
        <v>1.098775877289251</v>
      </c>
      <c r="AZ15" s="59">
        <f>(AS15+AT15)/390</f>
        <v>0.04768786906893176</v>
      </c>
      <c r="BA15" s="59">
        <f>(AW15+AX15+AY15)/395</f>
        <v>0.009216388019511095</v>
      </c>
      <c r="BB15" s="60">
        <f>$G$7*$G$8*G15</f>
        <v>266.66666666666663</v>
      </c>
      <c r="BC15" s="61">
        <f>$G$10*BB15</f>
        <v>2133.333333333333</v>
      </c>
      <c r="BD15" s="62">
        <f>BB15*AZ15</f>
        <v>12.716765085048467</v>
      </c>
      <c r="BE15" s="62">
        <f>BB15*BA15</f>
        <v>2.457703471869625</v>
      </c>
      <c r="BF15" s="58">
        <f>BC15*AZ15</f>
        <v>101.73412068038773</v>
      </c>
      <c r="BG15" s="63">
        <f>BC15*BA15</f>
        <v>19.661627774957</v>
      </c>
      <c r="BH15" s="151">
        <f>AZ15+BA15</f>
        <v>0.05690425708844285</v>
      </c>
      <c r="BI15" s="63">
        <f>AZ15</f>
        <v>0.04768786906893176</v>
      </c>
      <c r="BJ15" s="122"/>
      <c r="BK15" s="122"/>
      <c r="BL15" s="122"/>
    </row>
    <row r="16" spans="2:64" s="38" customFormat="1" ht="17.25" thickBot="1" thickTop="1">
      <c r="B16" s="29" t="s">
        <v>45</v>
      </c>
      <c r="C16" s="27"/>
      <c r="D16" s="27"/>
      <c r="E16" s="34"/>
      <c r="F16" s="35"/>
      <c r="G16" s="157">
        <f>'Puustotietojen keruulomake'!J10</f>
        <v>0</v>
      </c>
      <c r="AD16" s="38" t="str">
        <f t="shared" si="0"/>
        <v>Kuusi </v>
      </c>
      <c r="AE16" s="56">
        <f>G23*H23</f>
        <v>1E-05</v>
      </c>
      <c r="AF16" s="56">
        <f t="shared" si="0"/>
        <v>0.01</v>
      </c>
      <c r="AG16" s="56">
        <f t="shared" si="0"/>
        <v>0</v>
      </c>
      <c r="AH16" s="123">
        <f>AG16</f>
        <v>0</v>
      </c>
      <c r="AI16" s="57" t="s">
        <v>27</v>
      </c>
      <c r="AJ16" s="57" t="s">
        <v>27</v>
      </c>
      <c r="AK16" s="57">
        <f>-3.655+7.942*(2+1.25*AH16)/((2+1.25*AH16)+14)+0.907*LN(AF16)+0.018*AF16+(0.006+0.008)/2</f>
        <v>-6.831959358691199</v>
      </c>
      <c r="AL16" s="57">
        <f>-4.349+9.879*(2+1.25*AH16)/((2+1.25*AH16)+18)+0.274*LN(AF16)+(0.016+0.036)/2</f>
        <v>-4.596916630960738</v>
      </c>
      <c r="AM16" s="58">
        <f>(-3.962+11.725*(2+1.25*AH16)/((2+1.25*AH16)+26)+((0.065+0.058)/2))</f>
        <v>-3.063</v>
      </c>
      <c r="AN16" s="58">
        <f>(-2.295+10.649*(2+1.25*AH16)/((2+1.25*AH16)+24)+((0.105+0.114)/2))</f>
        <v>-1.3663461538461539</v>
      </c>
      <c r="AO16" s="58">
        <f>AE16/AF16</f>
        <v>0.001</v>
      </c>
      <c r="AP16" s="58">
        <f>(-2.945+12.698*((2+1.25*AH16)/((2+1.25*AH16)+14))-6.183*(AF16/(AF16+5))+((0.013+0.072)/2))+0.959*LN(AE16)</f>
        <v>-12.36848683827172</v>
      </c>
      <c r="AQ16" s="58">
        <f>(0.286+16.286*((2+1.25*AH16)/((2+1.25*AH16)+4))-15.576*(AF16/(AF16+1))+((0.021+0.09)/2))+1.17*LN(AE16)</f>
        <v>-7.854173949130678</v>
      </c>
      <c r="AR16" s="58">
        <f>(-5.467+6.252*((2+1.25*AH16)/((2+1.25*AH16)+18))+1.068*LN(AF16)+((0.256+0.335)/2))</f>
        <v>-9.46462175863528</v>
      </c>
      <c r="AS16" s="58">
        <f t="shared" si="1"/>
        <v>0.0010787424022561342</v>
      </c>
      <c r="AT16" s="58">
        <f t="shared" si="1"/>
        <v>0.010082877095132932</v>
      </c>
      <c r="AU16" s="58">
        <f t="shared" si="1"/>
        <v>0.046747242918120525</v>
      </c>
      <c r="AV16" s="58">
        <f t="shared" si="1"/>
        <v>0.25503712559658326</v>
      </c>
      <c r="AW16" s="57">
        <f t="shared" si="2"/>
        <v>4.2504451545255874E-06</v>
      </c>
      <c r="AX16" s="57">
        <f t="shared" si="2"/>
        <v>0.0003881285537453783</v>
      </c>
      <c r="AY16" s="57">
        <f t="shared" si="2"/>
        <v>7.754735634279668E-05</v>
      </c>
      <c r="AZ16" s="59">
        <f>(AS16+AT16)/380</f>
        <v>2.937268288786596E-05</v>
      </c>
      <c r="BA16" s="59">
        <f>(AW16+AX16+AY16)/425</f>
        <v>1.1057090711592954E-06</v>
      </c>
      <c r="BB16" s="60">
        <f>$G$7*$G$8*G16</f>
        <v>0</v>
      </c>
      <c r="BC16" s="61">
        <f>$G$10*BB16</f>
        <v>0</v>
      </c>
      <c r="BD16" s="62">
        <f>BB16*AZ16</f>
        <v>0</v>
      </c>
      <c r="BE16" s="62">
        <f>BB16*BA16</f>
        <v>0</v>
      </c>
      <c r="BF16" s="58">
        <f>BC16*AZ16</f>
        <v>0</v>
      </c>
      <c r="BG16" s="63">
        <f>BC16*BA16</f>
        <v>0</v>
      </c>
      <c r="BH16" s="151">
        <f>AZ16+BA16</f>
        <v>3.0478391959025256E-05</v>
      </c>
      <c r="BI16" s="63">
        <f>AZ16</f>
        <v>2.937268288786596E-05</v>
      </c>
      <c r="BJ16" s="122"/>
      <c r="BK16" s="122"/>
      <c r="BL16" s="122"/>
    </row>
    <row r="17" spans="2:64" s="38" customFormat="1" ht="17.25" thickBot="1" thickTop="1">
      <c r="B17" s="29" t="s">
        <v>46</v>
      </c>
      <c r="C17" s="27"/>
      <c r="D17" s="27"/>
      <c r="E17" s="34"/>
      <c r="F17" s="35"/>
      <c r="G17" s="157">
        <f>'Puustotietojen keruulomake'!K10</f>
        <v>0.3648648648648648</v>
      </c>
      <c r="H17" s="64"/>
      <c r="O17" s="42"/>
      <c r="P17" s="42"/>
      <c r="AD17" s="38" t="str">
        <f t="shared" si="0"/>
        <v>Koivu</v>
      </c>
      <c r="AE17" s="56">
        <f>G24*H24</f>
        <v>3.6166666666666663</v>
      </c>
      <c r="AF17" s="56">
        <f t="shared" si="0"/>
        <v>10.333333333333334</v>
      </c>
      <c r="AG17" s="56">
        <f t="shared" si="0"/>
        <v>8.666666666666666</v>
      </c>
      <c r="AH17" s="123">
        <f>AG17</f>
        <v>8.666666666666666</v>
      </c>
      <c r="AI17" s="57" t="s">
        <v>27</v>
      </c>
      <c r="AJ17" s="57" t="s">
        <v>27</v>
      </c>
      <c r="AK17" s="57">
        <f>-5.001+9.284*(2+1.25*AH17)/((2+1.25*AH17)+12)+1.143*LN(AF17)+(0.003+0.005)/2</f>
        <v>2.47010534085941</v>
      </c>
      <c r="AL17" s="57">
        <f>-5.449+9.967*(2+1.25*AH17)/((2+1.25*AH17)+12)+2.894*(AF17/(AF17+20))+(0.011+0.044)/2</f>
        <v>0.7150996754922933</v>
      </c>
      <c r="AM17" s="58">
        <f>(-3.677+11.537*(2+1.25*AH17)/((2+1.25*AH17)+26)+((0.021+0.046)/2))</f>
        <v>0.16915665236051539</v>
      </c>
      <c r="AN17" s="58">
        <f>(-3.183+7.204*(2+1.25*AH17)/((2+1.25*AH17)+22)+(0.892*LN(AF17))+((0.047+0.027)/2))</f>
        <v>1.591259688066692</v>
      </c>
      <c r="AO17" s="58">
        <f>AE17/AF17</f>
        <v>0.3499999999999999</v>
      </c>
      <c r="AP17" s="58">
        <f>(-4.837+13.222*((2+1.25*AH17)/((2+1.25*AH17)+12))-4.639*(AF17/(AF17+12))+((0.013+0.054)/2))+0.135*AE17</f>
        <v>0.37119265250926636</v>
      </c>
      <c r="AQ17" s="58">
        <f>(-20.856+22.32*(2+1.25*AH17)/((2+1.25*AH17)+2)+((0.011+0.044)/2))+2.819*AO17</f>
        <v>-0.5312882022471905</v>
      </c>
      <c r="AR17" s="58">
        <f>(-7.742+11.362*((2+1.25*AH17)/((2+1.25*AH17)+16))+((1.034+2.705/2)))</f>
        <v>-0.29842485549133</v>
      </c>
      <c r="AS17" s="58">
        <f t="shared" si="1"/>
        <v>11.823692303955397</v>
      </c>
      <c r="AT17" s="58">
        <f t="shared" si="1"/>
        <v>2.0443904477274932</v>
      </c>
      <c r="AU17" s="58">
        <f t="shared" si="1"/>
        <v>1.184305648668756</v>
      </c>
      <c r="AV17" s="58">
        <f t="shared" si="1"/>
        <v>4.909930014636668</v>
      </c>
      <c r="AW17" s="57">
        <f t="shared" si="2"/>
        <v>1.449462289037053</v>
      </c>
      <c r="AX17" s="57">
        <f t="shared" si="2"/>
        <v>0.5878472156087445</v>
      </c>
      <c r="AY17" s="57">
        <f t="shared" si="2"/>
        <v>0.7419860359313826</v>
      </c>
      <c r="AZ17" s="59">
        <f>(AS17+AT17)/490</f>
        <v>0.028302209697312022</v>
      </c>
      <c r="BA17" s="59">
        <f>(AW17+AX17+AY17)/500</f>
        <v>0.00555859108115436</v>
      </c>
      <c r="BB17" s="60">
        <f>$G$7*$G$8*G17</f>
        <v>1800</v>
      </c>
      <c r="BC17" s="61">
        <f>$G$10*BB17</f>
        <v>14400</v>
      </c>
      <c r="BD17" s="62">
        <f>BB17*AZ17</f>
        <v>50.943977455161644</v>
      </c>
      <c r="BE17" s="62">
        <f>BB17*BA17</f>
        <v>10.005463946077848</v>
      </c>
      <c r="BF17" s="58">
        <f>BC17*AZ17</f>
        <v>407.55181964129315</v>
      </c>
      <c r="BG17" s="63">
        <f>BC17*BA17</f>
        <v>80.04371156862278</v>
      </c>
      <c r="BH17" s="151">
        <f>AZ17+BA17</f>
        <v>0.033860800778466385</v>
      </c>
      <c r="BI17" s="63">
        <f>AZ17</f>
        <v>0.028302209697312022</v>
      </c>
      <c r="BJ17" s="122"/>
      <c r="BK17" s="122"/>
      <c r="BL17" s="122"/>
    </row>
    <row r="18" spans="2:64" s="38" customFormat="1" ht="17.25" thickBot="1" thickTop="1">
      <c r="B18" s="37" t="s">
        <v>47</v>
      </c>
      <c r="C18" s="31"/>
      <c r="D18" s="31"/>
      <c r="E18" s="32"/>
      <c r="F18" s="33"/>
      <c r="G18" s="157">
        <f>'Puustotietojen keruulomake'!L10</f>
        <v>0.581081081081081</v>
      </c>
      <c r="H18" s="64"/>
      <c r="O18" s="40"/>
      <c r="P18" s="42"/>
      <c r="AD18" s="38" t="str">
        <f t="shared" si="0"/>
        <v>Muu lehtipuu</v>
      </c>
      <c r="AE18" s="56">
        <f>G25*H25</f>
        <v>4.533333333333334</v>
      </c>
      <c r="AF18" s="56">
        <f t="shared" si="0"/>
        <v>11.333333333333334</v>
      </c>
      <c r="AG18" s="56">
        <f t="shared" si="0"/>
        <v>8.333333333333334</v>
      </c>
      <c r="AH18" s="123">
        <f>AG18</f>
        <v>8.333333333333334</v>
      </c>
      <c r="AI18" s="57" t="s">
        <v>27</v>
      </c>
      <c r="AJ18" s="57" t="s">
        <v>27</v>
      </c>
      <c r="AK18" s="57">
        <f>-5.001+9.284*(2+1.25*AH18)/((2+1.25*AH18)+12)+1.143*LN(AF18)+(0.003+0.005)/2</f>
        <v>2.4991312507534698</v>
      </c>
      <c r="AL18" s="57">
        <f>-5.449+9.967*(2+1.25*AH18)/((2+1.25*AH18)+12)+2.894*(AF18/(AF18+20))+(0.011+0.044)/2</f>
        <v>0.6938086195628496</v>
      </c>
      <c r="AM18" s="58">
        <f>(-3.677+11.537*(2+1.25*AH18)/((2+1.25*AH18)+26)+((0.021+0.046)/2))</f>
        <v>0.08537852494577028</v>
      </c>
      <c r="AN18" s="58">
        <f>(-3.183+7.204*(2+1.25*AH18)/((2+1.25*AH18)+22)+(0.892*LN(AF18))+((0.047+0.027)/2))</f>
        <v>1.6185732182332164</v>
      </c>
      <c r="AO18" s="58">
        <f>AE18/AF18</f>
        <v>0.4</v>
      </c>
      <c r="AP18" s="58">
        <f>(-4.837+13.222*((2+1.25*AH18)/((2+1.25*AH18)+12))-4.639*(AF18/(AF18+12))+((0.013+0.054)/2))+0.135*AE18</f>
        <v>0.2790871282301314</v>
      </c>
      <c r="AQ18" s="58">
        <f>(-20.856+22.32*(2+1.25*AH18)/((2+1.25*AH18)+2)+((0.011+0.044)/2))+2.819*AO18</f>
        <v>-0.47731618497109896</v>
      </c>
      <c r="AR18" s="58">
        <f>(-7.742+11.362*((2+1.25*AH18)/((2+1.25*AH18)+16))+((1.034+2.705/2)))</f>
        <v>-0.3908724340175951</v>
      </c>
      <c r="AS18" s="58">
        <f t="shared" si="1"/>
        <v>12.171915024141185</v>
      </c>
      <c r="AT18" s="58">
        <f t="shared" si="1"/>
        <v>2.0013233156038392</v>
      </c>
      <c r="AU18" s="58">
        <f t="shared" si="1"/>
        <v>1.0891292512731803</v>
      </c>
      <c r="AV18" s="58">
        <f t="shared" si="1"/>
        <v>5.0458858002927</v>
      </c>
      <c r="AW18" s="57">
        <f t="shared" si="2"/>
        <v>1.3219225156212677</v>
      </c>
      <c r="AX18" s="57">
        <f t="shared" si="2"/>
        <v>0.6204463224737083</v>
      </c>
      <c r="AY18" s="57">
        <f t="shared" si="2"/>
        <v>0.6764664446420017</v>
      </c>
      <c r="AZ18" s="59">
        <f>(AS18+AT18)/440</f>
        <v>0.032211905317602325</v>
      </c>
      <c r="BA18" s="59">
        <f>(AW18+AX18+AY18)/370</f>
        <v>0.007077933196586426</v>
      </c>
      <c r="BB18" s="60">
        <f>$G$7*$G$8*G18</f>
        <v>2866.666666666667</v>
      </c>
      <c r="BC18" s="61">
        <f>$G$10*BB18</f>
        <v>22933.333333333336</v>
      </c>
      <c r="BD18" s="65">
        <f>BB18*AZ18</f>
        <v>92.34079524379334</v>
      </c>
      <c r="BE18" s="65">
        <f>BB18*BA18</f>
        <v>20.290075163547755</v>
      </c>
      <c r="BF18" s="66">
        <f>BC18*AZ18</f>
        <v>738.7263619503467</v>
      </c>
      <c r="BG18" s="67">
        <f>BC18*BA18</f>
        <v>162.32060130838204</v>
      </c>
      <c r="BH18" s="152">
        <f>AZ18+BA18</f>
        <v>0.039289838514188755</v>
      </c>
      <c r="BI18" s="67">
        <f>AZ18</f>
        <v>0.032211905317602325</v>
      </c>
      <c r="BJ18" s="122"/>
      <c r="BK18" s="122"/>
      <c r="BL18" s="122"/>
    </row>
    <row r="19" spans="2:64" s="38" customFormat="1" ht="17.25" thickBot="1" thickTop="1">
      <c r="B19" s="39"/>
      <c r="C19" s="39"/>
      <c r="D19" s="39"/>
      <c r="E19" s="40"/>
      <c r="F19" s="42"/>
      <c r="G19" s="124">
        <f>SUM(G15:G18)</f>
        <v>0.9999999999999999</v>
      </c>
      <c r="H19" s="68"/>
      <c r="J19" s="40"/>
      <c r="K19" s="24"/>
      <c r="L19" s="24"/>
      <c r="M19" s="70"/>
      <c r="N19" s="42"/>
      <c r="O19" s="42"/>
      <c r="P19" s="42"/>
      <c r="BD19" s="71">
        <f>SUM(BD15:BD18)</f>
        <v>156.00153778400346</v>
      </c>
      <c r="BE19" s="71">
        <f>SUM(BE15:BE18)</f>
        <v>32.75324258149523</v>
      </c>
      <c r="BF19" s="72">
        <f>SUM(BF15:BF18)</f>
        <v>1248.0123022720277</v>
      </c>
      <c r="BG19" s="73">
        <f>SUM(BG15:BG18)</f>
        <v>262.02594065196183</v>
      </c>
      <c r="BH19" s="150">
        <f>BH15*G15+G16*BH16+BH17*G17+G18*BH18</f>
        <v>0.03826110412814162</v>
      </c>
      <c r="BI19" s="74">
        <f>BI15*G15+G16*BI16+BI17*G17+G18*BI18</f>
        <v>0.03162193333459529</v>
      </c>
      <c r="BJ19" s="79"/>
      <c r="BK19" s="79"/>
      <c r="BL19" s="79"/>
    </row>
    <row r="20" spans="2:64" s="38" customFormat="1" ht="16.5" thickTop="1">
      <c r="B20" s="39"/>
      <c r="C20" s="39"/>
      <c r="D20" s="39"/>
      <c r="E20" s="40"/>
      <c r="F20" s="42"/>
      <c r="G20" s="75"/>
      <c r="H20" s="76"/>
      <c r="J20" s="40"/>
      <c r="K20" s="24"/>
      <c r="L20" s="24"/>
      <c r="M20" s="70"/>
      <c r="N20" s="42"/>
      <c r="O20" s="42"/>
      <c r="P20" s="42"/>
      <c r="BD20" s="77"/>
      <c r="BE20" s="77"/>
      <c r="BF20" s="78"/>
      <c r="BG20" s="79"/>
      <c r="BH20" s="42"/>
      <c r="BJ20" s="69"/>
      <c r="BK20" s="69"/>
      <c r="BL20" s="69"/>
    </row>
    <row r="21" spans="2:62" s="42" customFormat="1" ht="21" customHeight="1" thickBot="1">
      <c r="B21" s="102"/>
      <c r="C21" s="39"/>
      <c r="D21" s="39"/>
      <c r="E21" s="40"/>
      <c r="F21" s="35"/>
      <c r="G21" s="43" t="s">
        <v>39</v>
      </c>
      <c r="H21" s="43" t="s">
        <v>6</v>
      </c>
      <c r="I21" s="43" t="s">
        <v>50</v>
      </c>
      <c r="J21" s="34" t="s">
        <v>36</v>
      </c>
      <c r="K21" s="34" t="s">
        <v>42</v>
      </c>
      <c r="L21" s="43" t="s">
        <v>58</v>
      </c>
      <c r="BJ21" s="24"/>
    </row>
    <row r="22" spans="2:62" s="42" customFormat="1" ht="21" customHeight="1" thickBot="1" thickTop="1">
      <c r="B22" s="102"/>
      <c r="C22" s="39"/>
      <c r="D22" s="39"/>
      <c r="E22" s="40"/>
      <c r="F22" s="103" t="s">
        <v>2</v>
      </c>
      <c r="G22" s="181">
        <f>'Puustotietojen keruulomake'!I27</f>
        <v>0.28</v>
      </c>
      <c r="H22" s="172">
        <f>'Puustotietojen keruulomake'!I15</f>
        <v>11</v>
      </c>
      <c r="I22" s="172">
        <f>'Puustotietojen keruulomake'!I23</f>
        <v>10</v>
      </c>
      <c r="J22" s="55">
        <f aca="true" t="shared" si="3" ref="J22:K25">BH15*1000</f>
        <v>56.90425708844285</v>
      </c>
      <c r="K22" s="55">
        <f t="shared" si="3"/>
        <v>47.687869068931754</v>
      </c>
      <c r="L22" s="135">
        <f>(($G$7*$G$8)*G15)*3.141592654*(I22*0.01*0.5)^2</f>
        <v>2.0943951026666667</v>
      </c>
      <c r="BJ22" s="24"/>
    </row>
    <row r="23" spans="2:62" s="42" customFormat="1" ht="21" customHeight="1" thickBot="1" thickTop="1">
      <c r="B23" s="102"/>
      <c r="C23" s="39"/>
      <c r="D23" s="39"/>
      <c r="E23" s="40"/>
      <c r="F23" s="103" t="s">
        <v>3</v>
      </c>
      <c r="G23" s="181">
        <f>'Puustotietojen keruulomake'!J27</f>
        <v>0.001</v>
      </c>
      <c r="H23" s="172">
        <f>'Puustotietojen keruulomake'!J15</f>
        <v>0.01</v>
      </c>
      <c r="I23" s="172">
        <f>'Puustotietojen keruulomake'!J23</f>
        <v>0</v>
      </c>
      <c r="J23" s="55">
        <f t="shared" si="3"/>
        <v>0.030478391959025256</v>
      </c>
      <c r="K23" s="55">
        <f>BI16*1000</f>
        <v>0.029372682887865962</v>
      </c>
      <c r="L23" s="135">
        <f>(($G$7*$G$8)*G16)*3.141592654*(I23*0.01*0.5)^2</f>
        <v>0</v>
      </c>
      <c r="BH23" s="122">
        <f>BH19*G8+G9*BH34</f>
        <v>0.0320835324505875</v>
      </c>
      <c r="BI23" s="122">
        <f>BI19*G8+G9*BI34</f>
        <v>0.026404309984233848</v>
      </c>
      <c r="BJ23" s="24"/>
    </row>
    <row r="24" spans="2:62" s="42" customFormat="1" ht="21" customHeight="1" thickBot="1" thickTop="1">
      <c r="B24" s="102"/>
      <c r="C24" s="39"/>
      <c r="D24" s="39"/>
      <c r="E24" s="40"/>
      <c r="F24" s="103" t="s">
        <v>4</v>
      </c>
      <c r="G24" s="158">
        <f>'Puustotietojen keruulomake'!K27</f>
        <v>0.3499999999999999</v>
      </c>
      <c r="H24" s="172">
        <f>'Puustotietojen keruulomake'!K15</f>
        <v>10.333333333333334</v>
      </c>
      <c r="I24" s="172">
        <f>'Puustotietojen keruulomake'!K23</f>
        <v>8.666666666666666</v>
      </c>
      <c r="J24" s="55">
        <f t="shared" si="3"/>
        <v>33.860800778466384</v>
      </c>
      <c r="K24" s="55">
        <f t="shared" si="3"/>
        <v>28.302209697312023</v>
      </c>
      <c r="L24" s="135">
        <f>(($G$7*$G$8)*G17)*3.141592654*(I24*0.01*0.5)^2</f>
        <v>10.618583170519997</v>
      </c>
      <c r="BJ24" s="24"/>
    </row>
    <row r="25" spans="2:62" s="42" customFormat="1" ht="21" customHeight="1" thickBot="1" thickTop="1">
      <c r="B25" s="102"/>
      <c r="C25" s="39"/>
      <c r="D25" s="39"/>
      <c r="E25" s="40"/>
      <c r="F25" s="103" t="s">
        <v>5</v>
      </c>
      <c r="G25" s="158">
        <f>'Puustotietojen keruulomake'!L27</f>
        <v>0.4000000000000001</v>
      </c>
      <c r="H25" s="172">
        <f>'Puustotietojen keruulomake'!L15</f>
        <v>11.333333333333334</v>
      </c>
      <c r="I25" s="172">
        <f>'Puustotietojen keruulomake'!L23</f>
        <v>8.333333333333334</v>
      </c>
      <c r="J25" s="55">
        <f>BH18*1000</f>
        <v>39.28983851418875</v>
      </c>
      <c r="K25" s="55">
        <f t="shared" si="3"/>
        <v>32.21190531760232</v>
      </c>
      <c r="L25" s="135">
        <f>(($G$7*$G$8)*G18)*3.141592654*(I25*0.01*0.5)^2</f>
        <v>15.63524121782408</v>
      </c>
      <c r="BJ25" s="24"/>
    </row>
    <row r="26" spans="2:62" s="42" customFormat="1" ht="21" customHeight="1" thickBot="1" thickTop="1">
      <c r="B26" s="102"/>
      <c r="C26" s="39"/>
      <c r="D26" s="39"/>
      <c r="E26" s="40"/>
      <c r="F26" s="106"/>
      <c r="G26" s="129"/>
      <c r="H26" s="129"/>
      <c r="I26" s="129"/>
      <c r="J26" s="107"/>
      <c r="K26" s="134" t="s">
        <v>56</v>
      </c>
      <c r="L26" s="136">
        <f>SUM(L22:L25)</f>
        <v>28.348219491010745</v>
      </c>
      <c r="BJ26" s="24"/>
    </row>
    <row r="27" spans="2:62" s="38" customFormat="1" ht="15.75" customHeight="1" thickTop="1">
      <c r="B27" s="102" t="s">
        <v>73</v>
      </c>
      <c r="C27" s="40"/>
      <c r="D27" s="40"/>
      <c r="E27" s="40"/>
      <c r="F27" s="42"/>
      <c r="G27" s="104"/>
      <c r="H27" s="104"/>
      <c r="I27" s="69"/>
      <c r="AP27" s="42"/>
      <c r="AQ27" s="42"/>
      <c r="AR27" s="42"/>
      <c r="AS27" s="23"/>
      <c r="AT27" s="23"/>
      <c r="AU27" s="85"/>
      <c r="AV27" s="83"/>
      <c r="AW27" s="82"/>
      <c r="AX27" s="83"/>
      <c r="BJ27" s="23"/>
    </row>
    <row r="28" spans="2:64" s="38" customFormat="1" ht="15.75" customHeight="1">
      <c r="B28" s="102"/>
      <c r="C28" s="40"/>
      <c r="D28" s="40"/>
      <c r="E28" s="40"/>
      <c r="F28" s="42"/>
      <c r="G28" s="104"/>
      <c r="H28" s="104"/>
      <c r="I28" s="69"/>
      <c r="AP28" s="42"/>
      <c r="AQ28" s="42"/>
      <c r="AR28" s="42"/>
      <c r="AS28" s="23"/>
      <c r="AT28" s="23"/>
      <c r="AU28" s="85"/>
      <c r="AV28" s="83"/>
      <c r="AW28" s="82"/>
      <c r="AX28" s="83"/>
      <c r="BJ28" s="24"/>
      <c r="BK28" s="42"/>
      <c r="BL28" s="42"/>
    </row>
    <row r="29" spans="2:64" s="38" customFormat="1" ht="16.5" thickBot="1">
      <c r="B29" s="41"/>
      <c r="C29" s="41"/>
      <c r="D29" s="41"/>
      <c r="E29" s="41"/>
      <c r="F29" s="41"/>
      <c r="G29" s="36"/>
      <c r="H29" s="42"/>
      <c r="AE29" s="109" t="s">
        <v>7</v>
      </c>
      <c r="AF29" s="110" t="s">
        <v>6</v>
      </c>
      <c r="AG29" s="111" t="s">
        <v>8</v>
      </c>
      <c r="AH29" s="111" t="s">
        <v>9</v>
      </c>
      <c r="AI29" s="112" t="s">
        <v>37</v>
      </c>
      <c r="AJ29" s="112" t="s">
        <v>38</v>
      </c>
      <c r="AK29" s="112" t="s">
        <v>10</v>
      </c>
      <c r="AL29" s="112" t="s">
        <v>11</v>
      </c>
      <c r="AM29" s="113" t="s">
        <v>12</v>
      </c>
      <c r="AN29" s="113" t="s">
        <v>13</v>
      </c>
      <c r="AO29" s="113" t="s">
        <v>14</v>
      </c>
      <c r="AP29" s="113" t="s">
        <v>15</v>
      </c>
      <c r="AQ29" s="113" t="s">
        <v>16</v>
      </c>
      <c r="AR29" s="113" t="s">
        <v>17</v>
      </c>
      <c r="AS29" s="114" t="s">
        <v>18</v>
      </c>
      <c r="AT29" s="114" t="s">
        <v>19</v>
      </c>
      <c r="AU29" s="114" t="s">
        <v>20</v>
      </c>
      <c r="AV29" s="114" t="s">
        <v>21</v>
      </c>
      <c r="AW29" s="114" t="s">
        <v>22</v>
      </c>
      <c r="AX29" s="114" t="s">
        <v>23</v>
      </c>
      <c r="AY29" s="114" t="s">
        <v>24</v>
      </c>
      <c r="AZ29" s="115" t="s">
        <v>25</v>
      </c>
      <c r="BA29" s="115" t="s">
        <v>26</v>
      </c>
      <c r="BB29" s="116" t="s">
        <v>28</v>
      </c>
      <c r="BC29" s="117" t="s">
        <v>29</v>
      </c>
      <c r="BD29" s="118" t="s">
        <v>30</v>
      </c>
      <c r="BE29" s="118" t="s">
        <v>31</v>
      </c>
      <c r="BF29" s="118" t="s">
        <v>32</v>
      </c>
      <c r="BG29" s="118" t="s">
        <v>33</v>
      </c>
      <c r="BH29" s="119" t="s">
        <v>34</v>
      </c>
      <c r="BI29" s="119" t="s">
        <v>35</v>
      </c>
      <c r="BJ29" s="69"/>
      <c r="BK29" s="40"/>
      <c r="BL29" s="40"/>
    </row>
    <row r="30" spans="2:64" s="38" customFormat="1" ht="17.25" thickBot="1" thickTop="1">
      <c r="B30" s="37" t="s">
        <v>44</v>
      </c>
      <c r="C30" s="31"/>
      <c r="D30" s="31"/>
      <c r="E30" s="32"/>
      <c r="F30" s="33"/>
      <c r="G30" s="157">
        <f>'Puustotietojen keruulomake'!I13</f>
        <v>0.09999999999999999</v>
      </c>
      <c r="AD30" s="38" t="str">
        <f>F37</f>
        <v>Mänty</v>
      </c>
      <c r="AE30" s="56">
        <f>G37*H37</f>
        <v>1.4000000000000001</v>
      </c>
      <c r="AF30" s="56">
        <f aca="true" t="shared" si="4" ref="AF30:AG33">H37</f>
        <v>7</v>
      </c>
      <c r="AG30" s="56">
        <f t="shared" si="4"/>
        <v>5</v>
      </c>
      <c r="AH30" s="123">
        <f>AG30</f>
        <v>5</v>
      </c>
      <c r="AI30" s="57">
        <f>(2+1.25*AH30)/((2+1.25*AH30)+14)</f>
        <v>0.3707865168539326</v>
      </c>
      <c r="AJ30" s="57">
        <f>(AF30/(AF30+12))</f>
        <v>0.3684210526315789</v>
      </c>
      <c r="AK30" s="57">
        <f>-3.778+8.294*AI30+4.949*AJ30+(0.002+0.008)/2</f>
        <v>1.1256191602602013</v>
      </c>
      <c r="AL30" s="57">
        <f>-4.756+8.616*(2+1.25*AH30)/((2+1.25*AH30)+12)+0.277*LN(AF30)+(0.013+0.054)/2</f>
        <v>-0.6732606664894567</v>
      </c>
      <c r="AM30" s="58">
        <f>-6.739+12.658*(2+1.25*AH30)/((2+1.25*AH30)+12)+((0.009+0.044)/2)</f>
        <v>-1.5555370370370372</v>
      </c>
      <c r="AN30" s="58">
        <f>-9.601+15.931*(2+1.25*AH30)/((2+1.25*AH30)+8)+((0.065)/2)</f>
        <v>-1.480453846153847</v>
      </c>
      <c r="AO30" s="58">
        <f>AE30/AF30</f>
        <v>0.2</v>
      </c>
      <c r="AP30" s="58">
        <f>(-5.224+13.022*((2+1.25*AH30)/((2+1.25*AH30)+12))-4.867*(AF30/(AF30+8))+((0.02+0.067)/2))+1.058*LN(AE30)</f>
        <v>-1.7905197810621645</v>
      </c>
      <c r="AQ30" s="58">
        <f>(-2.385+15.022*((2+1.25*AH30)/((2+1.25*AH30)+4))-11.979*(AF30/(AF30+1))+((0.034+0.95)/2))+1.116*LN(AE30)</f>
        <v>-1.8822648410735827</v>
      </c>
      <c r="AR30" s="58">
        <f>(-5.334+10.789*((2+1.25*AH30)/((2+1.25*AH30)+16)))+(((0.271+0.327)/2))</f>
        <v>-1.3645154639175257</v>
      </c>
      <c r="AS30" s="58">
        <f aca="true" t="shared" si="5" ref="AS30:AV33">EXP(AK30)</f>
        <v>3.082124587320641</v>
      </c>
      <c r="AT30" s="58">
        <f t="shared" si="5"/>
        <v>0.5100427840493804</v>
      </c>
      <c r="AU30" s="58">
        <f t="shared" si="5"/>
        <v>0.21107599656964895</v>
      </c>
      <c r="AV30" s="58">
        <f t="shared" si="5"/>
        <v>0.22753439933491085</v>
      </c>
      <c r="AW30" s="57">
        <f aca="true" t="shared" si="6" ref="AW30:AY33">EXP(AP30)</f>
        <v>0.1668734094828157</v>
      </c>
      <c r="AX30" s="57">
        <f t="shared" si="6"/>
        <v>0.1522449044785196</v>
      </c>
      <c r="AY30" s="57">
        <f t="shared" si="6"/>
        <v>0.25550444712372966</v>
      </c>
      <c r="AZ30" s="59">
        <f>(AS30+AT30)/390</f>
        <v>0.009210685567615439</v>
      </c>
      <c r="BA30" s="59">
        <f>(AW30+AX30+AY30)/395</f>
        <v>0.0014547411673039618</v>
      </c>
      <c r="BB30" s="60">
        <f>$G$7*$G$9*G30</f>
        <v>133.33333333333331</v>
      </c>
      <c r="BC30" s="61">
        <f>$G$10*BB30</f>
        <v>1066.6666666666665</v>
      </c>
      <c r="BD30" s="62">
        <f>BB30*AZ30</f>
        <v>1.2280914090153916</v>
      </c>
      <c r="BE30" s="62">
        <f>BB30*BA30</f>
        <v>0.19396548897386154</v>
      </c>
      <c r="BF30" s="58">
        <f>BC30*AZ30</f>
        <v>9.824731272123133</v>
      </c>
      <c r="BG30" s="63">
        <f>BC30*BA30</f>
        <v>1.5517239117908923</v>
      </c>
      <c r="BH30" s="151">
        <f>AZ30+BA30</f>
        <v>0.0106654267349194</v>
      </c>
      <c r="BI30" s="63">
        <f>AZ30</f>
        <v>0.009210685567615439</v>
      </c>
      <c r="BJ30" s="122"/>
      <c r="BK30" s="122"/>
      <c r="BL30" s="122"/>
    </row>
    <row r="31" spans="2:64" s="38" customFormat="1" ht="17.25" thickBot="1" thickTop="1">
      <c r="B31" s="29" t="s">
        <v>45</v>
      </c>
      <c r="C31" s="27"/>
      <c r="D31" s="27"/>
      <c r="E31" s="34"/>
      <c r="F31" s="35"/>
      <c r="G31" s="157">
        <f>'Puustotietojen keruulomake'!J13</f>
        <v>0.30000000000000004</v>
      </c>
      <c r="AD31" s="38" t="str">
        <f>F38</f>
        <v>Kuusi </v>
      </c>
      <c r="AE31" s="56">
        <f>G38*H38</f>
        <v>4.433333333333332</v>
      </c>
      <c r="AF31" s="56">
        <f t="shared" si="4"/>
        <v>6.333333333333333</v>
      </c>
      <c r="AG31" s="56">
        <f t="shared" si="4"/>
        <v>4</v>
      </c>
      <c r="AH31" s="123">
        <f>AG31</f>
        <v>4</v>
      </c>
      <c r="AI31" s="57" t="s">
        <v>27</v>
      </c>
      <c r="AJ31" s="57" t="s">
        <v>27</v>
      </c>
      <c r="AK31" s="57">
        <f>-3.655+7.942*(2+1.25*AH31)/((2+1.25*AH31)+14)+0.907*LN(AF31)+0.018*AF31+(0.006+0.008)/2</f>
        <v>0.7874981416153197</v>
      </c>
      <c r="AL31" s="57">
        <f>-4.349+9.879*(2+1.25*AH31)/((2+1.25*AH31)+18)+0.274*LN(AF31)+(0.016+0.036)/2</f>
        <v>-1.051123486803458</v>
      </c>
      <c r="AM31" s="58">
        <f>(-3.962+11.725*(2+1.25*AH31)/((2+1.25*AH31)+26)+((0.065+0.058)/2))</f>
        <v>-1.4133787878787878</v>
      </c>
      <c r="AN31" s="58">
        <f>(-2.295+10.649*(2+1.25*AH31)/((2+1.25*AH31)+24)+((0.105+0.114)/2))</f>
        <v>0.2191129032258064</v>
      </c>
      <c r="AO31" s="58">
        <f>AE31/AF31</f>
        <v>0.6999999999999998</v>
      </c>
      <c r="AP31" s="58">
        <f>(-2.945+12.698*((2+1.25*AH31)/((2+1.25*AH31)+14))-6.183*(AF31/(AF31+5))+((0.013+0.072)/2))+0.959*LN(AE31)</f>
        <v>-0.6969426907356198</v>
      </c>
      <c r="AQ31" s="58">
        <f>(0.286+16.286*((2+1.25*AH31)/((2+1.25*AH31)+4))-15.576*(AF31/(AF31+1))+((0.021+0.09)/2))+1.17*LN(AE31)</f>
        <v>-1.004374274707089</v>
      </c>
      <c r="AR31" s="58">
        <f>(-5.467+6.252*((2+1.25*AH31)/((2+1.25*AH31)+18))+1.068*LN(AF31)+((0.256+0.335)/2))</f>
        <v>-1.4495970945477823</v>
      </c>
      <c r="AS31" s="58">
        <f t="shared" si="5"/>
        <v>2.1978907305394437</v>
      </c>
      <c r="AT31" s="58">
        <f t="shared" si="5"/>
        <v>0.3495448194349805</v>
      </c>
      <c r="AU31" s="58">
        <f t="shared" si="5"/>
        <v>0.24331976681459527</v>
      </c>
      <c r="AV31" s="58">
        <f t="shared" si="5"/>
        <v>1.2449718300885708</v>
      </c>
      <c r="AW31" s="57">
        <f t="shared" si="6"/>
        <v>0.4981058418343789</v>
      </c>
      <c r="AX31" s="57">
        <f t="shared" si="6"/>
        <v>0.36627374986441524</v>
      </c>
      <c r="AY31" s="57">
        <f t="shared" si="6"/>
        <v>0.23466481678358242</v>
      </c>
      <c r="AZ31" s="59">
        <f>(AS31+AT31)/380</f>
        <v>0.00670377776309059</v>
      </c>
      <c r="BA31" s="59">
        <f>(AW31+AX31+AY31)/425</f>
        <v>0.0025859868434879446</v>
      </c>
      <c r="BB31" s="60">
        <f>$G$7*$G$9*G31</f>
        <v>400.00000000000006</v>
      </c>
      <c r="BC31" s="61">
        <f>$G$10*BB31</f>
        <v>3200.0000000000005</v>
      </c>
      <c r="BD31" s="62">
        <f>BB31*AZ31</f>
        <v>2.6815111052362366</v>
      </c>
      <c r="BE31" s="62">
        <f>BB31*BA31</f>
        <v>1.034394737395178</v>
      </c>
      <c r="BF31" s="58">
        <f>BC31*AZ31</f>
        <v>21.452088841889893</v>
      </c>
      <c r="BG31" s="63">
        <f>BC31*BA31</f>
        <v>8.275157899161425</v>
      </c>
      <c r="BH31" s="151">
        <f>AZ31+BA31</f>
        <v>0.009289764606578535</v>
      </c>
      <c r="BI31" s="63">
        <f>AZ31</f>
        <v>0.00670377776309059</v>
      </c>
      <c r="BJ31" s="122"/>
      <c r="BK31" s="122"/>
      <c r="BL31" s="122"/>
    </row>
    <row r="32" spans="2:64" s="38" customFormat="1" ht="17.25" thickBot="1" thickTop="1">
      <c r="B32" s="29" t="s">
        <v>46</v>
      </c>
      <c r="C32" s="27"/>
      <c r="D32" s="27"/>
      <c r="E32" s="34"/>
      <c r="F32" s="35"/>
      <c r="G32" s="157">
        <f>'Puustotietojen keruulomake'!K13</f>
        <v>0.30000000000000004</v>
      </c>
      <c r="H32" s="64"/>
      <c r="O32" s="42"/>
      <c r="P32" s="42"/>
      <c r="AD32" s="38" t="str">
        <f>F39</f>
        <v>Koivu</v>
      </c>
      <c r="AE32" s="56">
        <f>G39*H39</f>
        <v>2.5333333333333337</v>
      </c>
      <c r="AF32" s="56">
        <f t="shared" si="4"/>
        <v>6.333333333333333</v>
      </c>
      <c r="AG32" s="56">
        <f t="shared" si="4"/>
        <v>5</v>
      </c>
      <c r="AH32" s="123">
        <f>AG32</f>
        <v>5</v>
      </c>
      <c r="AI32" s="57" t="s">
        <v>27</v>
      </c>
      <c r="AJ32" s="57" t="s">
        <v>27</v>
      </c>
      <c r="AK32" s="57">
        <f>-5.001+9.284*(2+1.25*AH32)/((2+1.25*AH32)+12)+1.143*LN(AF32)+(0.003+0.005)/2</f>
        <v>0.8951502776099622</v>
      </c>
      <c r="AL32" s="57">
        <f>-5.449+9.967*(2+1.25*AH32)/((2+1.25*AH32)+12)+2.894*(AF32/(AF32+20))+(0.011+0.044)/2</f>
        <v>-0.6648450539146739</v>
      </c>
      <c r="AM32" s="58">
        <f>(-3.677+11.537*(2+1.25*AH32)/((2+1.25*AH32)+26)+((0.021+0.046)/2))</f>
        <v>-0.8645145985401462</v>
      </c>
      <c r="AN32" s="58">
        <f>(-3.183+7.204*(2+1.25*AH32)/((2+1.25*AH32)+22)+(0.892*LN(AF32))+((0.047+0.027)/2))</f>
        <v>0.46520468065178383</v>
      </c>
      <c r="AO32" s="58">
        <f>AE32/AF32</f>
        <v>0.4000000000000001</v>
      </c>
      <c r="AP32" s="58">
        <f>(-4.837+13.222*((2+1.25*AH32)/((2+1.25*AH32)+12))-4.639*(AF32/(AF32+12))+((0.013+0.054)/2))+0.135*AE32</f>
        <v>-0.6773228956228956</v>
      </c>
      <c r="AQ32" s="58">
        <f>(-20.856+22.32*(2+1.25*AH32)/((2+1.25*AH32)+2)+((0.011+0.044)/2))+2.819*AO32</f>
        <v>-1.7360219512195139</v>
      </c>
      <c r="AR32" s="58">
        <f>(-7.742+11.362*((2+1.25*AH32)/((2+1.25*AH32)+16))+((1.034+2.705/2)))</f>
        <v>-1.4900773195876287</v>
      </c>
      <c r="AS32" s="58">
        <f t="shared" si="5"/>
        <v>2.4477035968714436</v>
      </c>
      <c r="AT32" s="58">
        <f t="shared" si="5"/>
        <v>0.5143532185502697</v>
      </c>
      <c r="AU32" s="58">
        <f t="shared" si="5"/>
        <v>0.4212559812766087</v>
      </c>
      <c r="AV32" s="58">
        <f t="shared" si="5"/>
        <v>1.592340076739263</v>
      </c>
      <c r="AW32" s="57">
        <f t="shared" si="6"/>
        <v>0.5079750759880695</v>
      </c>
      <c r="AX32" s="57">
        <f t="shared" si="6"/>
        <v>0.17622001996996337</v>
      </c>
      <c r="AY32" s="57">
        <f t="shared" si="6"/>
        <v>0.22535523049230705</v>
      </c>
      <c r="AZ32" s="59">
        <f>(AS32+AT32)/490</f>
        <v>0.006045013909023905</v>
      </c>
      <c r="BA32" s="59">
        <f>(AW32+AX32+AY32)/500</f>
        <v>0.0018191006529006798</v>
      </c>
      <c r="BB32" s="60">
        <f>$G$7*$G$9*G32</f>
        <v>400.00000000000006</v>
      </c>
      <c r="BC32" s="61">
        <f>$G$10*BB32</f>
        <v>3200.0000000000005</v>
      </c>
      <c r="BD32" s="62">
        <f>BB32*AZ32</f>
        <v>2.418005563609562</v>
      </c>
      <c r="BE32" s="62">
        <f>BB32*BA32</f>
        <v>0.727640261160272</v>
      </c>
      <c r="BF32" s="58">
        <f>BC32*AZ32</f>
        <v>19.344044508876497</v>
      </c>
      <c r="BG32" s="63">
        <f>BC32*BA32</f>
        <v>5.821122089282176</v>
      </c>
      <c r="BH32" s="63">
        <f>AZ32+BA32</f>
        <v>0.007864114561924585</v>
      </c>
      <c r="BI32" s="63">
        <f>AZ32</f>
        <v>0.006045013909023905</v>
      </c>
      <c r="BJ32" s="122"/>
      <c r="BK32" s="122"/>
      <c r="BL32" s="122"/>
    </row>
    <row r="33" spans="2:64" s="38" customFormat="1" ht="17.25" thickBot="1" thickTop="1">
      <c r="B33" s="37" t="s">
        <v>47</v>
      </c>
      <c r="C33" s="31"/>
      <c r="D33" s="31"/>
      <c r="E33" s="32"/>
      <c r="F33" s="33"/>
      <c r="G33" s="157">
        <f>'Puustotietojen keruulomake'!L13</f>
        <v>0.30000000000000004</v>
      </c>
      <c r="H33" s="64"/>
      <c r="O33" s="40"/>
      <c r="P33" s="42"/>
      <c r="AD33" s="38" t="str">
        <f>F40</f>
        <v>Muu lehtipuu</v>
      </c>
      <c r="AE33" s="56">
        <f>G40*H40</f>
        <v>2.566666666666666</v>
      </c>
      <c r="AF33" s="56">
        <f t="shared" si="4"/>
        <v>7.333333333333333</v>
      </c>
      <c r="AG33" s="56">
        <f t="shared" si="4"/>
        <v>5</v>
      </c>
      <c r="AH33" s="123">
        <f>AG33</f>
        <v>5</v>
      </c>
      <c r="AI33" s="57" t="s">
        <v>27</v>
      </c>
      <c r="AJ33" s="57" t="s">
        <v>27</v>
      </c>
      <c r="AK33" s="57">
        <f>-5.001+9.284*(2+1.25*AH33)/((2+1.25*AH33)+12)+1.143*LN(AF33)+(0.003+0.005)/2</f>
        <v>1.0627180486112757</v>
      </c>
      <c r="AL33" s="57">
        <f>-5.449+9.967*(2+1.25*AH33)/((2+1.25*AH33)+12)+2.894*(AF33/(AF33+20))+(0.011+0.044)/2</f>
        <v>-0.584431345980126</v>
      </c>
      <c r="AM33" s="58">
        <f>(-3.677+11.537*(2+1.25*AH33)/((2+1.25*AH33)+26)+((0.021+0.046)/2))</f>
        <v>-0.8645145985401462</v>
      </c>
      <c r="AN33" s="58">
        <f>(-3.183+7.204*(2+1.25*AH33)/((2+1.25*AH33)+22)+(0.892*LN(AF33))+((0.047+0.027)/2))</f>
        <v>0.5959749796309367</v>
      </c>
      <c r="AO33" s="58">
        <f>AE33/AF33</f>
        <v>0.3499999999999999</v>
      </c>
      <c r="AP33" s="58">
        <f>(-4.837+13.222*((2+1.25*AH33)/((2+1.25*AH33)+12))-4.639*(AF33/(AF33+12))+((0.013+0.054)/2))+0.135*AE33</f>
        <v>-0.8298799489144318</v>
      </c>
      <c r="AQ33" s="58">
        <f>(-20.856+22.32*(2+1.25*AH33)/((2+1.25*AH33)+2)+((0.011+0.044)/2))+2.819*AO33</f>
        <v>-1.8769719512195142</v>
      </c>
      <c r="AR33" s="58">
        <f>(-7.742+11.362*((2+1.25*AH33)/((2+1.25*AH33)+16))+((1.034+2.705/2)))</f>
        <v>-1.4900773195876287</v>
      </c>
      <c r="AS33" s="58">
        <f t="shared" si="5"/>
        <v>2.894226957542275</v>
      </c>
      <c r="AT33" s="58">
        <f t="shared" si="5"/>
        <v>0.5574227523920005</v>
      </c>
      <c r="AU33" s="58">
        <f t="shared" si="5"/>
        <v>0.4212559812766087</v>
      </c>
      <c r="AV33" s="58">
        <f t="shared" si="5"/>
        <v>1.814799475202137</v>
      </c>
      <c r="AW33" s="57">
        <f t="shared" si="6"/>
        <v>0.436101637654074</v>
      </c>
      <c r="AX33" s="57">
        <f t="shared" si="6"/>
        <v>0.15305285630256496</v>
      </c>
      <c r="AY33" s="57">
        <f t="shared" si="6"/>
        <v>0.22535523049230705</v>
      </c>
      <c r="AZ33" s="59">
        <f>(AS33+AT33)/440</f>
        <v>0.007844658431668807</v>
      </c>
      <c r="BA33" s="59">
        <f>(AW33+AX33+AY33)/370</f>
        <v>0.0022013776336458003</v>
      </c>
      <c r="BB33" s="60">
        <f>$G$7*$G$9*G33</f>
        <v>400.00000000000006</v>
      </c>
      <c r="BC33" s="61">
        <f>$G$10*BB33</f>
        <v>3200.0000000000005</v>
      </c>
      <c r="BD33" s="65">
        <f>BB33*AZ33</f>
        <v>3.1378633726675234</v>
      </c>
      <c r="BE33" s="65">
        <f>BB33*BA33</f>
        <v>0.8805510534583203</v>
      </c>
      <c r="BF33" s="66">
        <f>BC33*AZ33</f>
        <v>25.102906981340187</v>
      </c>
      <c r="BG33" s="67">
        <f>BC33*BA33</f>
        <v>7.044408427666562</v>
      </c>
      <c r="BH33" s="67">
        <f>AZ33+BA33</f>
        <v>0.010046036065314607</v>
      </c>
      <c r="BI33" s="67">
        <f>AZ33</f>
        <v>0.007844658431668807</v>
      </c>
      <c r="BJ33" s="122"/>
      <c r="BK33" s="122"/>
      <c r="BL33" s="122"/>
    </row>
    <row r="34" spans="2:64" s="38" customFormat="1" ht="17.25" thickBot="1" thickTop="1">
      <c r="B34" s="39"/>
      <c r="C34" s="39"/>
      <c r="D34" s="39"/>
      <c r="E34" s="40"/>
      <c r="F34" s="42"/>
      <c r="G34" s="124">
        <f>SUM(G30:G33)</f>
        <v>1</v>
      </c>
      <c r="H34" s="68"/>
      <c r="J34" s="40"/>
      <c r="K34" s="24"/>
      <c r="L34" s="24"/>
      <c r="M34" s="70"/>
      <c r="N34" s="42"/>
      <c r="O34" s="42"/>
      <c r="P34" s="42"/>
      <c r="BD34" s="71">
        <f>SUM(BD30:BD33)</f>
        <v>9.465471450528714</v>
      </c>
      <c r="BE34" s="71">
        <f>SUM(BE30:BE33)</f>
        <v>2.8365515409876316</v>
      </c>
      <c r="BF34" s="72">
        <f>SUM(BF30:BF33)</f>
        <v>75.72377160422971</v>
      </c>
      <c r="BG34" s="73">
        <f>SUM(BG30:BG33)</f>
        <v>22.692412327901053</v>
      </c>
      <c r="BH34" s="150">
        <f>BH30*G30+G31*BH31+BH32*G32+G33*BH33</f>
        <v>0.00922651724363726</v>
      </c>
      <c r="BI34" s="74">
        <f>BI30*G30+G31*BI31+BI32*G32+G33*BI33</f>
        <v>0.007099103587896536</v>
      </c>
      <c r="BJ34" s="79"/>
      <c r="BK34" s="79"/>
      <c r="BL34" s="79"/>
    </row>
    <row r="35" spans="2:64" s="38" customFormat="1" ht="16.5" thickTop="1">
      <c r="B35" s="39"/>
      <c r="C35" s="39"/>
      <c r="D35" s="39"/>
      <c r="E35" s="40"/>
      <c r="F35" s="42"/>
      <c r="G35" s="105"/>
      <c r="H35" s="68"/>
      <c r="J35" s="40"/>
      <c r="K35" s="24"/>
      <c r="L35" s="24"/>
      <c r="M35" s="70"/>
      <c r="N35" s="42"/>
      <c r="O35" s="42"/>
      <c r="P35" s="42"/>
      <c r="BD35" s="77"/>
      <c r="BE35" s="77"/>
      <c r="BF35" s="78"/>
      <c r="BG35" s="79"/>
      <c r="BH35" s="42"/>
      <c r="BJ35" s="69"/>
      <c r="BK35" s="69"/>
      <c r="BL35" s="69"/>
    </row>
    <row r="36" spans="2:62" s="42" customFormat="1" ht="21" customHeight="1" thickBot="1">
      <c r="B36" s="102"/>
      <c r="C36" s="39"/>
      <c r="D36" s="39"/>
      <c r="E36" s="40"/>
      <c r="F36" s="35"/>
      <c r="G36" s="43" t="s">
        <v>39</v>
      </c>
      <c r="H36" s="43" t="s">
        <v>6</v>
      </c>
      <c r="I36" s="43" t="s">
        <v>50</v>
      </c>
      <c r="J36" s="34" t="s">
        <v>36</v>
      </c>
      <c r="K36" s="34" t="s">
        <v>42</v>
      </c>
      <c r="L36" s="43" t="s">
        <v>58</v>
      </c>
      <c r="BJ36" s="24"/>
    </row>
    <row r="37" spans="2:62" s="42" customFormat="1" ht="21" customHeight="1" thickBot="1" thickTop="1">
      <c r="B37" s="102"/>
      <c r="C37" s="39"/>
      <c r="D37" s="39"/>
      <c r="E37" s="40"/>
      <c r="F37" s="103" t="s">
        <v>2</v>
      </c>
      <c r="G37" s="158">
        <f>'Puustotietojen keruulomake'!I30</f>
        <v>0.2</v>
      </c>
      <c r="H37" s="172">
        <f>'Puustotietojen keruulomake'!I18</f>
        <v>7</v>
      </c>
      <c r="I37" s="172">
        <f>'Puustotietojen keruulomake'!I26</f>
        <v>5</v>
      </c>
      <c r="J37" s="55">
        <f>BH30*1000</f>
        <v>10.6654267349194</v>
      </c>
      <c r="K37" s="55">
        <f aca="true" t="shared" si="7" ref="J37:K40">BI30*1000</f>
        <v>9.210685567615439</v>
      </c>
      <c r="L37" s="135">
        <f>(($G$7*$G$9)*G30)*3.141592654*(I37*0.01*0.5)^2</f>
        <v>0.26179938783333334</v>
      </c>
      <c r="BJ37" s="24"/>
    </row>
    <row r="38" spans="2:62" s="42" customFormat="1" ht="21" customHeight="1" thickBot="1" thickTop="1">
      <c r="B38" s="102"/>
      <c r="C38" s="39"/>
      <c r="D38" s="39"/>
      <c r="E38" s="40"/>
      <c r="F38" s="103" t="s">
        <v>3</v>
      </c>
      <c r="G38" s="158">
        <f>'Puustotietojen keruulomake'!J30</f>
        <v>0.6999999999999998</v>
      </c>
      <c r="H38" s="172">
        <f>'Puustotietojen keruulomake'!J18</f>
        <v>6.333333333333333</v>
      </c>
      <c r="I38" s="172">
        <f>'Puustotietojen keruulomake'!J26</f>
        <v>4</v>
      </c>
      <c r="J38" s="55">
        <f t="shared" si="7"/>
        <v>9.289764606578535</v>
      </c>
      <c r="K38" s="55">
        <f t="shared" si="7"/>
        <v>6.70377776309059</v>
      </c>
      <c r="L38" s="135">
        <f>(($G$7*$G$9)*G31)*3.141592654*(I38*0.01*0.5)^2</f>
        <v>0.5026548246400001</v>
      </c>
      <c r="BJ38" s="24"/>
    </row>
    <row r="39" spans="2:62" s="42" customFormat="1" ht="21" customHeight="1" thickBot="1" thickTop="1">
      <c r="B39" s="102"/>
      <c r="C39" s="39"/>
      <c r="D39" s="39"/>
      <c r="E39" s="40"/>
      <c r="F39" s="103" t="s">
        <v>4</v>
      </c>
      <c r="G39" s="158">
        <f>'Puustotietojen keruulomake'!K30</f>
        <v>0.4000000000000001</v>
      </c>
      <c r="H39" s="172">
        <f>'Puustotietojen keruulomake'!K18</f>
        <v>6.333333333333333</v>
      </c>
      <c r="I39" s="172">
        <f>'Puustotietojen keruulomake'!K26</f>
        <v>5</v>
      </c>
      <c r="J39" s="55">
        <f>BH32*1000</f>
        <v>7.864114561924585</v>
      </c>
      <c r="K39" s="55">
        <f t="shared" si="7"/>
        <v>6.045013909023905</v>
      </c>
      <c r="L39" s="135">
        <f>(($G$7*$G$9)*G32)*3.141592654*(I39*0.01*0.5)^2</f>
        <v>0.7853981635000002</v>
      </c>
      <c r="BJ39" s="24"/>
    </row>
    <row r="40" spans="2:62" s="42" customFormat="1" ht="21" customHeight="1" thickBot="1" thickTop="1">
      <c r="B40" s="102"/>
      <c r="C40" s="40"/>
      <c r="D40" s="40"/>
      <c r="E40" s="40"/>
      <c r="F40" s="103" t="s">
        <v>5</v>
      </c>
      <c r="G40" s="158">
        <f>'Puustotietojen keruulomake'!L30</f>
        <v>0.3499999999999999</v>
      </c>
      <c r="H40" s="172">
        <f>'Puustotietojen keruulomake'!L18</f>
        <v>7.333333333333333</v>
      </c>
      <c r="I40" s="172">
        <f>'Puustotietojen keruulomake'!L26</f>
        <v>5</v>
      </c>
      <c r="J40" s="55">
        <f t="shared" si="7"/>
        <v>10.046036065314608</v>
      </c>
      <c r="K40" s="55">
        <f t="shared" si="7"/>
        <v>7.844658431668807</v>
      </c>
      <c r="L40" s="135">
        <f>(($G$7*$G$9)*G33)*3.141592654*(I40*0.01*0.5)^2</f>
        <v>0.7853981635000002</v>
      </c>
      <c r="BJ40" s="24"/>
    </row>
    <row r="41" spans="2:62" s="42" customFormat="1" ht="21" customHeight="1" thickBot="1" thickTop="1">
      <c r="B41" s="102"/>
      <c r="C41" s="40"/>
      <c r="D41" s="40"/>
      <c r="E41" s="40"/>
      <c r="F41" s="106"/>
      <c r="G41" s="159"/>
      <c r="H41" s="160"/>
      <c r="I41" s="160"/>
      <c r="J41" s="107"/>
      <c r="K41" s="133" t="s">
        <v>56</v>
      </c>
      <c r="L41" s="136">
        <f>SUM(L37:L40)</f>
        <v>2.335250539473334</v>
      </c>
      <c r="BJ41" s="24"/>
    </row>
    <row r="42" spans="2:62" s="42" customFormat="1" ht="21" customHeight="1" thickTop="1">
      <c r="B42" s="102"/>
      <c r="C42" s="40"/>
      <c r="D42" s="40"/>
      <c r="E42" s="40"/>
      <c r="G42" s="130"/>
      <c r="H42" s="105"/>
      <c r="I42" s="105"/>
      <c r="BJ42" s="24"/>
    </row>
    <row r="43" s="86" customFormat="1" ht="12.75">
      <c r="BJ43" s="87"/>
    </row>
    <row r="44" spans="2:62" s="38" customFormat="1" ht="23.25">
      <c r="B44" s="26" t="s">
        <v>54</v>
      </c>
      <c r="BJ44" s="23"/>
    </row>
    <row r="45" s="86" customFormat="1" ht="12.75">
      <c r="BJ45" s="87"/>
    </row>
    <row r="46" s="38" customFormat="1" ht="12.75">
      <c r="BJ46" s="23"/>
    </row>
    <row r="47" spans="2:62" s="38" customFormat="1" ht="15">
      <c r="B47" s="41"/>
      <c r="C47" s="41"/>
      <c r="D47" s="41"/>
      <c r="E47" s="41"/>
      <c r="F47" s="41"/>
      <c r="G47" s="88" t="s">
        <v>40</v>
      </c>
      <c r="H47" s="88" t="s">
        <v>41</v>
      </c>
      <c r="I47" s="89"/>
      <c r="J47" s="89"/>
      <c r="L47" s="89"/>
      <c r="BJ47" s="23"/>
    </row>
    <row r="48" spans="2:62" s="38" customFormat="1" ht="16.5" thickBot="1">
      <c r="B48" s="90" t="s">
        <v>86</v>
      </c>
      <c r="C48" s="91"/>
      <c r="D48" s="91"/>
      <c r="E48" s="91"/>
      <c r="F48" s="91"/>
      <c r="G48" s="125">
        <f>BF19+BG19+BF34+BG34</f>
        <v>1608.4544268561203</v>
      </c>
      <c r="H48" s="126">
        <f>G48/G10</f>
        <v>201.05680335701504</v>
      </c>
      <c r="I48" s="120"/>
      <c r="J48" s="121"/>
      <c r="L48" s="92"/>
      <c r="BJ48" s="23"/>
    </row>
    <row r="49" spans="2:62" s="38" customFormat="1" ht="17.25" thickBot="1" thickTop="1">
      <c r="B49" s="28" t="s">
        <v>87</v>
      </c>
      <c r="C49" s="35"/>
      <c r="D49" s="35"/>
      <c r="E49" s="35"/>
      <c r="F49" s="35"/>
      <c r="G49" s="125">
        <f>BF19+BF34</f>
        <v>1323.7360738762575</v>
      </c>
      <c r="H49" s="126">
        <f>G49/G10</f>
        <v>165.46700923453218</v>
      </c>
      <c r="I49" s="120"/>
      <c r="J49" s="121"/>
      <c r="L49" s="94"/>
      <c r="AL49" s="56"/>
      <c r="BJ49" s="23"/>
    </row>
    <row r="50" spans="9:62" s="38" customFormat="1" ht="13.5" thickTop="1">
      <c r="I50" s="42"/>
      <c r="J50" s="42"/>
      <c r="L50" s="42"/>
      <c r="BJ50" s="23"/>
    </row>
    <row r="51" spans="2:62" s="38" customFormat="1" ht="12" customHeight="1">
      <c r="B51" s="95"/>
      <c r="C51" s="41"/>
      <c r="D51" s="41"/>
      <c r="E51" s="41"/>
      <c r="F51" s="41"/>
      <c r="G51" s="41"/>
      <c r="H51" s="42"/>
      <c r="I51" s="42"/>
      <c r="AL51" s="96"/>
      <c r="AN51" s="96"/>
      <c r="BJ51" s="23"/>
    </row>
    <row r="52" spans="2:62" s="38" customFormat="1" ht="16.5" thickBot="1">
      <c r="B52" s="93" t="s">
        <v>88</v>
      </c>
      <c r="C52" s="35"/>
      <c r="D52" s="35"/>
      <c r="E52" s="35"/>
      <c r="F52" s="35"/>
      <c r="G52" s="125">
        <f>BH23*1000</f>
        <v>32.083532450587505</v>
      </c>
      <c r="H52" s="94"/>
      <c r="I52" s="42"/>
      <c r="AL52" s="85"/>
      <c r="AN52" s="85"/>
      <c r="BJ52" s="23"/>
    </row>
    <row r="53" spans="2:62" s="38" customFormat="1" ht="17.25" thickBot="1" thickTop="1">
      <c r="B53" s="28" t="s">
        <v>89</v>
      </c>
      <c r="C53" s="33"/>
      <c r="D53" s="33"/>
      <c r="E53" s="33"/>
      <c r="F53" s="33"/>
      <c r="G53" s="127">
        <f>BI23*1000</f>
        <v>26.404309984233848</v>
      </c>
      <c r="H53" s="94"/>
      <c r="I53" s="42"/>
      <c r="BJ53" s="23"/>
    </row>
    <row r="54" spans="2:62" s="38" customFormat="1" ht="13.5" thickTop="1">
      <c r="B54" s="98"/>
      <c r="C54" s="42"/>
      <c r="D54" s="42"/>
      <c r="E54" s="42"/>
      <c r="F54" s="42"/>
      <c r="G54" s="69"/>
      <c r="H54" s="69"/>
      <c r="I54" s="42"/>
      <c r="U54" s="97"/>
      <c r="V54" s="84"/>
      <c r="W54" s="84"/>
      <c r="X54" s="83"/>
      <c r="Y54" s="83"/>
      <c r="Z54" s="84"/>
      <c r="AA54" s="84"/>
      <c r="AB54" s="84"/>
      <c r="AC54" s="84"/>
      <c r="AD54" s="83"/>
      <c r="AE54" s="83"/>
      <c r="AF54" s="83"/>
      <c r="AG54" s="83"/>
      <c r="BJ54" s="23"/>
    </row>
    <row r="55" spans="2:62" s="38" customFormat="1" ht="15">
      <c r="B55" s="132"/>
      <c r="C55" s="41"/>
      <c r="D55" s="41"/>
      <c r="E55" s="41"/>
      <c r="F55" s="41"/>
      <c r="G55" s="88"/>
      <c r="H55" s="69"/>
      <c r="I55" s="42"/>
      <c r="U55" s="97"/>
      <c r="V55" s="84"/>
      <c r="W55" s="84"/>
      <c r="X55" s="83"/>
      <c r="Y55" s="83"/>
      <c r="Z55" s="84"/>
      <c r="AA55" s="84"/>
      <c r="AB55" s="84"/>
      <c r="AC55" s="84"/>
      <c r="AD55" s="83"/>
      <c r="AE55" s="83"/>
      <c r="AF55" s="83"/>
      <c r="AG55" s="83"/>
      <c r="BJ55" s="23"/>
    </row>
    <row r="56" spans="2:62" s="38" customFormat="1" ht="19.5" thickBot="1">
      <c r="B56" s="93" t="s">
        <v>55</v>
      </c>
      <c r="C56" s="35"/>
      <c r="D56" s="35"/>
      <c r="E56" s="35"/>
      <c r="F56" s="35"/>
      <c r="G56" s="137">
        <f>L26+L41</f>
        <v>30.68347003048408</v>
      </c>
      <c r="H56" s="69"/>
      <c r="I56" s="42"/>
      <c r="U56" s="97"/>
      <c r="V56" s="84"/>
      <c r="W56" s="84"/>
      <c r="X56" s="83"/>
      <c r="Y56" s="83"/>
      <c r="Z56" s="84"/>
      <c r="AA56" s="84"/>
      <c r="AB56" s="84"/>
      <c r="AC56" s="84"/>
      <c r="AD56" s="83"/>
      <c r="AE56" s="83"/>
      <c r="AF56" s="83"/>
      <c r="AG56" s="83"/>
      <c r="BJ56" s="23"/>
    </row>
    <row r="57" spans="2:62" s="38" customFormat="1" ht="17.25" thickBot="1" thickTop="1">
      <c r="B57" s="93" t="s">
        <v>57</v>
      </c>
      <c r="C57" s="35"/>
      <c r="D57" s="35"/>
      <c r="E57" s="35"/>
      <c r="F57" s="35"/>
      <c r="G57" s="137">
        <f>SQRT((100*100)/G7)</f>
        <v>1.2632278815997784</v>
      </c>
      <c r="H57" s="69"/>
      <c r="I57" s="42"/>
      <c r="U57" s="97"/>
      <c r="V57" s="84"/>
      <c r="W57" s="84"/>
      <c r="X57" s="83"/>
      <c r="Y57" s="83"/>
      <c r="Z57" s="84"/>
      <c r="AA57" s="84"/>
      <c r="AB57" s="84"/>
      <c r="AC57" s="84"/>
      <c r="AD57" s="83"/>
      <c r="AE57" s="83"/>
      <c r="AF57" s="83"/>
      <c r="AG57" s="83"/>
      <c r="BJ57" s="23"/>
    </row>
    <row r="58" spans="2:62" s="38" customFormat="1" ht="13.5" thickTop="1">
      <c r="B58" s="98"/>
      <c r="C58" s="42"/>
      <c r="D58" s="42"/>
      <c r="E58" s="42"/>
      <c r="F58" s="42"/>
      <c r="G58" s="69"/>
      <c r="H58" s="69"/>
      <c r="I58" s="42"/>
      <c r="U58" s="97"/>
      <c r="V58" s="84"/>
      <c r="W58" s="84"/>
      <c r="X58" s="83"/>
      <c r="Y58" s="83"/>
      <c r="Z58" s="84"/>
      <c r="AA58" s="84"/>
      <c r="AB58" s="84"/>
      <c r="AC58" s="84"/>
      <c r="AD58" s="83"/>
      <c r="AE58" s="83"/>
      <c r="AF58" s="83"/>
      <c r="AG58" s="83"/>
      <c r="BJ58" s="23"/>
    </row>
    <row r="59" spans="2:62" s="38" customFormat="1" ht="12.75">
      <c r="B59" s="98"/>
      <c r="C59" s="42"/>
      <c r="D59" s="42"/>
      <c r="E59" s="42"/>
      <c r="F59" s="42"/>
      <c r="G59" s="69"/>
      <c r="H59" s="69"/>
      <c r="I59" s="42"/>
      <c r="U59" s="97"/>
      <c r="V59" s="84"/>
      <c r="W59" s="84"/>
      <c r="X59" s="83"/>
      <c r="Y59" s="83"/>
      <c r="Z59" s="84"/>
      <c r="AA59" s="84"/>
      <c r="AB59" s="84"/>
      <c r="AC59" s="84"/>
      <c r="AD59" s="83"/>
      <c r="AE59" s="83"/>
      <c r="AF59" s="83"/>
      <c r="AG59" s="83"/>
      <c r="BJ59" s="23"/>
    </row>
    <row r="60" spans="2:62" s="38" customFormat="1" ht="12.75">
      <c r="B60" s="98"/>
      <c r="C60" s="42"/>
      <c r="D60" s="42"/>
      <c r="E60" s="42"/>
      <c r="F60" s="42"/>
      <c r="G60" s="69"/>
      <c r="H60" s="69"/>
      <c r="I60" s="42"/>
      <c r="U60" s="97"/>
      <c r="V60" s="84"/>
      <c r="W60" s="84"/>
      <c r="X60" s="83"/>
      <c r="Y60" s="83"/>
      <c r="Z60" s="84"/>
      <c r="AA60" s="84"/>
      <c r="AB60" s="84"/>
      <c r="AC60" s="84"/>
      <c r="AD60" s="83"/>
      <c r="AE60" s="83"/>
      <c r="AF60" s="83"/>
      <c r="AG60" s="83"/>
      <c r="BJ60" s="23"/>
    </row>
    <row r="61" spans="2:62" s="86" customFormat="1" ht="12.75">
      <c r="B61" s="99"/>
      <c r="C61" s="100"/>
      <c r="D61" s="100"/>
      <c r="E61" s="100"/>
      <c r="F61" s="100"/>
      <c r="G61" s="101"/>
      <c r="H61" s="101"/>
      <c r="I61" s="100"/>
      <c r="BJ61" s="87"/>
    </row>
    <row r="62" spans="2:62" s="38" customFormat="1" ht="12.75">
      <c r="B62" s="98"/>
      <c r="C62" s="42"/>
      <c r="D62" s="42"/>
      <c r="E62" s="42"/>
      <c r="F62" s="42"/>
      <c r="G62" s="69"/>
      <c r="H62" s="69"/>
      <c r="I62" s="42"/>
      <c r="BJ62" s="23"/>
    </row>
    <row r="63" spans="2:62" s="86" customFormat="1" ht="12.75">
      <c r="B63" s="99"/>
      <c r="C63" s="100"/>
      <c r="D63" s="100"/>
      <c r="E63" s="100"/>
      <c r="F63" s="100"/>
      <c r="G63" s="101"/>
      <c r="H63" s="101"/>
      <c r="I63" s="100"/>
      <c r="BJ63" s="87"/>
    </row>
    <row r="64" spans="2:27" ht="16.5">
      <c r="B64" s="17"/>
      <c r="C64" s="12"/>
      <c r="D64" s="12"/>
      <c r="E64" s="12"/>
      <c r="F64" s="12"/>
      <c r="G64" s="13"/>
      <c r="H64" s="13"/>
      <c r="I64" s="12"/>
      <c r="U64" s="16"/>
      <c r="V64" s="10"/>
      <c r="W64" s="10"/>
      <c r="X64" s="10"/>
      <c r="AA64" s="14"/>
    </row>
    <row r="65" spans="2:27" ht="16.5">
      <c r="B65" s="17"/>
      <c r="C65" s="12"/>
      <c r="D65" s="12"/>
      <c r="E65" s="12"/>
      <c r="F65" s="12"/>
      <c r="G65" s="13"/>
      <c r="H65" s="13"/>
      <c r="I65" s="12"/>
      <c r="U65" s="16"/>
      <c r="V65" s="15"/>
      <c r="W65" s="15"/>
      <c r="X65" s="15"/>
      <c r="Y65" s="15"/>
      <c r="Z65" s="15"/>
      <c r="AA65" s="14"/>
    </row>
    <row r="66" spans="2:27" ht="19.5">
      <c r="B66" s="11"/>
      <c r="C66" s="12"/>
      <c r="D66" s="12"/>
      <c r="E66" s="12"/>
      <c r="F66" s="12"/>
      <c r="G66" s="18"/>
      <c r="H66" s="19"/>
      <c r="I66" s="12"/>
      <c r="U66" s="16"/>
      <c r="V66" s="15"/>
      <c r="W66" s="15"/>
      <c r="X66" s="15"/>
      <c r="Y66" s="15"/>
      <c r="Z66" s="15"/>
      <c r="AA66" s="14"/>
    </row>
    <row r="67" spans="2:27" ht="19.5">
      <c r="B67" s="11"/>
      <c r="C67" s="12"/>
      <c r="D67" s="12"/>
      <c r="E67" s="12"/>
      <c r="F67" s="12"/>
      <c r="G67" s="18"/>
      <c r="H67" s="19"/>
      <c r="I67" s="12"/>
      <c r="U67" s="16"/>
      <c r="V67" s="15"/>
      <c r="W67" s="15"/>
      <c r="X67" s="15"/>
      <c r="Y67" s="15"/>
      <c r="Z67" s="15"/>
      <c r="AA67" s="14"/>
    </row>
    <row r="68" spans="2:27" ht="16.5">
      <c r="B68" s="12"/>
      <c r="C68" s="12"/>
      <c r="D68" s="12"/>
      <c r="E68" s="12"/>
      <c r="F68" s="12"/>
      <c r="G68" s="12"/>
      <c r="H68" s="12"/>
      <c r="I68" s="12"/>
      <c r="U68" s="16"/>
      <c r="V68" s="15"/>
      <c r="W68" s="15"/>
      <c r="X68" s="15"/>
      <c r="Y68" s="15"/>
      <c r="Z68" s="15"/>
      <c r="AA68" s="14"/>
    </row>
    <row r="69" spans="21:27" ht="16.5">
      <c r="U69" s="16"/>
      <c r="V69" s="15"/>
      <c r="W69" s="15"/>
      <c r="X69" s="15"/>
      <c r="Y69" s="15"/>
      <c r="Z69" s="15"/>
      <c r="AA69" s="14"/>
    </row>
    <row r="70" spans="21:27" ht="16.5">
      <c r="U70" s="16"/>
      <c r="V70" s="15"/>
      <c r="W70" s="15"/>
      <c r="X70" s="15"/>
      <c r="Y70" s="15"/>
      <c r="Z70" s="15"/>
      <c r="AA70" s="14"/>
    </row>
    <row r="71" spans="21:27" ht="16.5">
      <c r="U71" s="16"/>
      <c r="V71" s="15"/>
      <c r="W71" s="15"/>
      <c r="X71" s="15"/>
      <c r="Y71" s="15"/>
      <c r="Z71" s="15"/>
      <c r="AA71" s="14"/>
    </row>
    <row r="72" spans="16:27" ht="16.5">
      <c r="P72" s="15"/>
      <c r="Q72" s="15"/>
      <c r="R72" s="15"/>
      <c r="S72" s="15"/>
      <c r="T72" s="15"/>
      <c r="U72" s="16"/>
      <c r="V72" s="15"/>
      <c r="W72" s="15"/>
      <c r="X72" s="15"/>
      <c r="Y72" s="15"/>
      <c r="Z72" s="15"/>
      <c r="AA72" s="14"/>
    </row>
    <row r="73" spans="16:27" ht="16.5">
      <c r="P73" s="15"/>
      <c r="Q73" s="15"/>
      <c r="R73" s="15"/>
      <c r="S73" s="15"/>
      <c r="T73" s="15"/>
      <c r="U73" s="16"/>
      <c r="V73" s="15"/>
      <c r="W73" s="15"/>
      <c r="X73" s="15"/>
      <c r="Y73" s="15"/>
      <c r="Z73" s="15"/>
      <c r="AA73" s="14"/>
    </row>
    <row r="74" spans="16:27" ht="16.5">
      <c r="P74" s="15"/>
      <c r="Q74" s="15"/>
      <c r="R74" s="15"/>
      <c r="S74" s="15"/>
      <c r="T74" s="15"/>
      <c r="U74" s="16"/>
      <c r="V74" s="15"/>
      <c r="W74" s="15"/>
      <c r="X74" s="15"/>
      <c r="Y74" s="15"/>
      <c r="Z74" s="15"/>
      <c r="AA74" s="14"/>
    </row>
    <row r="75" spans="16:20" ht="12.75">
      <c r="P75" s="15"/>
      <c r="Q75" s="15"/>
      <c r="R75" s="15"/>
      <c r="S75" s="15"/>
      <c r="T75" s="15"/>
    </row>
    <row r="76" spans="16:20" ht="12.75">
      <c r="P76" s="15"/>
      <c r="Q76" s="15"/>
      <c r="R76" s="15"/>
      <c r="S76" s="15"/>
      <c r="T76" s="15"/>
    </row>
    <row r="77" spans="16:20" ht="12.75">
      <c r="P77" s="15"/>
      <c r="Q77" s="15"/>
      <c r="R77" s="15"/>
      <c r="S77" s="15"/>
      <c r="T77" s="15"/>
    </row>
    <row r="78" spans="16:20" ht="12.75">
      <c r="P78" s="15"/>
      <c r="Q78" s="15"/>
      <c r="R78" s="15"/>
      <c r="S78" s="15"/>
      <c r="T78" s="15"/>
    </row>
    <row r="79" spans="16:20" ht="12.75">
      <c r="P79" s="15"/>
      <c r="Q79" s="15"/>
      <c r="R79" s="15"/>
      <c r="S79" s="15"/>
      <c r="T79" s="15"/>
    </row>
    <row r="80" spans="16:20" ht="12.75">
      <c r="P80" s="15"/>
      <c r="Q80" s="15"/>
      <c r="R80" s="15"/>
      <c r="S80" s="15"/>
      <c r="T80" s="15"/>
    </row>
    <row r="81" spans="16:20" ht="12.75">
      <c r="P81" s="15"/>
      <c r="Q81" s="15"/>
      <c r="R81" s="15"/>
      <c r="S81" s="15"/>
      <c r="T81" s="15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laitila</dc:creator>
  <cp:keywords/>
  <dc:description/>
  <cp:lastModifiedBy>Jari Aalto</cp:lastModifiedBy>
  <dcterms:created xsi:type="dcterms:W3CDTF">2004-03-16T10:32:27Z</dcterms:created>
  <dcterms:modified xsi:type="dcterms:W3CDTF">2014-03-27T10:22:47Z</dcterms:modified>
  <cp:category/>
  <cp:version/>
  <cp:contentType/>
  <cp:contentStatus/>
</cp:coreProperties>
</file>