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20" windowHeight="8835" tabRatio="601" activeTab="0"/>
  </bookViews>
  <sheets>
    <sheet name="Etusivu" sheetId="1" r:id="rId1"/>
    <sheet name="Leimikkotiedot" sheetId="2" r:id="rId2"/>
    <sheet name="Välivarastohaketus" sheetId="3" r:id="rId3"/>
    <sheet name="Palstahaketus" sheetId="4" r:id="rId4"/>
    <sheet name="Irtorisu &amp; käyttöpaikkahaketus" sheetId="5" r:id="rId5"/>
    <sheet name="Irtorisu &amp; terminaalihaketus" sheetId="6" r:id="rId6"/>
    <sheet name="Risutukki &amp; käyttöpaikkahaketus" sheetId="7" r:id="rId7"/>
    <sheet name="Risutukki &amp; terminaalihaketus" sheetId="8" r:id="rId8"/>
  </sheets>
  <definedNames/>
  <calcPr fullCalcOnLoad="1"/>
</workbook>
</file>

<file path=xl/sharedStrings.xml><?xml version="1.0" encoding="utf-8"?>
<sst xmlns="http://schemas.openxmlformats.org/spreadsheetml/2006/main" count="1057" uniqueCount="256">
  <si>
    <t>Leimikkotiedot</t>
  </si>
  <si>
    <t>Mät</t>
  </si>
  <si>
    <t>Kut</t>
  </si>
  <si>
    <t>Let</t>
  </si>
  <si>
    <t>Mäk</t>
  </si>
  <si>
    <t>Kuk</t>
  </si>
  <si>
    <t>Lek</t>
  </si>
  <si>
    <t>Pinta-ala, ha</t>
  </si>
  <si>
    <t>Metsäkuljetusmatka, m</t>
  </si>
  <si>
    <t>Kaukokuljetusmatka, km</t>
  </si>
  <si>
    <t>Ainespuukertymä, m³</t>
  </si>
  <si>
    <t>Metsäkuljetus</t>
  </si>
  <si>
    <t>Metsätraktorin kuormakoko, m³</t>
  </si>
  <si>
    <t>Maatal.traktorin kuormakoko, m³</t>
  </si>
  <si>
    <t>Haketus</t>
  </si>
  <si>
    <t>Käyttötuntituottavuus, i-m³</t>
  </si>
  <si>
    <t>Hakkeen kaukokuljetus</t>
  </si>
  <si>
    <t>Kuormakoko, i-m³</t>
  </si>
  <si>
    <t>Purkuaika, h</t>
  </si>
  <si>
    <t>Apuaika, h</t>
  </si>
  <si>
    <t>Murskeen kaukokuljetus</t>
  </si>
  <si>
    <t>Hakkuutähteen määrä leimikolla</t>
  </si>
  <si>
    <t>Oletusarvo</t>
  </si>
  <si>
    <t>Metsäkuljetuskustannus, metsäkone</t>
  </si>
  <si>
    <t>Metsäkuljetuskustannus, traktori</t>
  </si>
  <si>
    <t>Haketuskustannus</t>
  </si>
  <si>
    <t>Kaukokuljetuskustannus</t>
  </si>
  <si>
    <t>Murskauskustannus</t>
  </si>
  <si>
    <t>PALSTAHAKETUS</t>
  </si>
  <si>
    <t>Ajouraväli, m</t>
  </si>
  <si>
    <t>IRTORISU+KÄYTTÖPAIKKAMURSKAUS</t>
  </si>
  <si>
    <t>RISUTUKKI+KÄYTTÖPAIKKAMURSKAUS</t>
  </si>
  <si>
    <t>Kuormaus, min/m3</t>
  </si>
  <si>
    <t>Kuormausajo, min/m3</t>
  </si>
  <si>
    <t>Tyhjänä-ajo, min/m3</t>
  </si>
  <si>
    <t>Kuormattuna-ajo, min/m3</t>
  </si>
  <si>
    <t>Purkaminen, min/m3</t>
  </si>
  <si>
    <t>Kuormaus</t>
  </si>
  <si>
    <t>Kuormausajo</t>
  </si>
  <si>
    <t>Tyhjänäajo</t>
  </si>
  <si>
    <t>Kuormattuna-ajo</t>
  </si>
  <si>
    <t>Purkaminen</t>
  </si>
  <si>
    <t>Mä</t>
  </si>
  <si>
    <t>Ku</t>
  </si>
  <si>
    <t>Le</t>
  </si>
  <si>
    <t>Ku-T</t>
  </si>
  <si>
    <t>Mä-T</t>
  </si>
  <si>
    <t>Le-T</t>
  </si>
  <si>
    <t>Ku-K</t>
  </si>
  <si>
    <t>Mä-K</t>
  </si>
  <si>
    <t>Le-K</t>
  </si>
  <si>
    <t>Haketus ja metsäkuljetus</t>
  </si>
  <si>
    <t>Haketus- ja metsäkuljetuskustannus</t>
  </si>
  <si>
    <t>Annettu arvo</t>
  </si>
  <si>
    <t>Malli käyttää</t>
  </si>
  <si>
    <t>m³</t>
  </si>
  <si>
    <t>m³/ha</t>
  </si>
  <si>
    <t>MWh/ha</t>
  </si>
  <si>
    <t>Käyttöpaikkahinta eri menetelmillä</t>
  </si>
  <si>
    <t>Ajo tyhjänä</t>
  </si>
  <si>
    <t>Ajo kuormattuna</t>
  </si>
  <si>
    <t>Purku ja apuajat</t>
  </si>
  <si>
    <t>Palstahakkurin kuormakoko, m³</t>
  </si>
  <si>
    <t>Kuormausaika, h</t>
  </si>
  <si>
    <t>Kuormakoko, m³</t>
  </si>
  <si>
    <t>Hakkuutähteen kaukokuljetus</t>
  </si>
  <si>
    <t>Käyttöpaikkamurskaus</t>
  </si>
  <si>
    <t>Hakkuutähteiden paalaus</t>
  </si>
  <si>
    <t>Risutukkien kaukokuljetus</t>
  </si>
  <si>
    <t>Metsäkuljetuskustannus</t>
  </si>
  <si>
    <t>Paalauskustannus</t>
  </si>
  <si>
    <t xml:space="preserve">Ku </t>
  </si>
  <si>
    <t>V-kuusi</t>
  </si>
  <si>
    <t>R-kuusi</t>
  </si>
  <si>
    <t>V-mänty</t>
  </si>
  <si>
    <t>R-mänty</t>
  </si>
  <si>
    <t>Metsätraktorin kuormakoko, risutukkeja kpl</t>
  </si>
  <si>
    <t>Kuormakoko, risutukkeja kpl</t>
  </si>
  <si>
    <t>Kuormakoko-V</t>
  </si>
  <si>
    <t>Kuormakoko-R</t>
  </si>
  <si>
    <t>Ajouratiheys</t>
  </si>
  <si>
    <t>Tuottavuus, kpl h15</t>
  </si>
  <si>
    <t>Purku</t>
  </si>
  <si>
    <t>RT:n tilavuus, m³</t>
  </si>
  <si>
    <t>VÄLIVARASTOHAKETUS tai -MURSKAUS</t>
  </si>
  <si>
    <t>Metsäkuljetuskustannus, metsätr.</t>
  </si>
  <si>
    <t>Metsäkuljetus, metsäkone</t>
  </si>
  <si>
    <t>Metsäkuljetus, maatal.tr.</t>
  </si>
  <si>
    <t>Palstahaketus</t>
  </si>
  <si>
    <t>Irtorisu, metsätr.</t>
  </si>
  <si>
    <t>Irtorisu, maatal.tr.</t>
  </si>
  <si>
    <t>Risutukki</t>
  </si>
  <si>
    <t xml:space="preserve">     Syötä leimikkotiedot viereisiin soluihin !</t>
  </si>
  <si>
    <t>Tuottavuuden aleneminen rusk.hak.täh</t>
  </si>
  <si>
    <t>Metsäkuljetus metsätraktorilla</t>
  </si>
  <si>
    <t>Metsäkuljetus maataloustraktorilla</t>
  </si>
  <si>
    <t>Palstalla kuivattu ht</t>
  </si>
  <si>
    <t>Tuore hakkuutähde</t>
  </si>
  <si>
    <t>Välivarastolla kuivattu ht</t>
  </si>
  <si>
    <t>Välivarasto ht, mk/m³</t>
  </si>
  <si>
    <t>Muut kulut</t>
  </si>
  <si>
    <t>Hakkuutähteen varastointiaika välivarastolla, kk</t>
  </si>
  <si>
    <t>Vv-haketus, metsätr.</t>
  </si>
  <si>
    <t>Vv-haketus, maatal.tr.</t>
  </si>
  <si>
    <t>Vv-murskaus, metsätr</t>
  </si>
  <si>
    <t>Vv-murskaus, maatal.tr.</t>
  </si>
  <si>
    <t>Tuore, m³</t>
  </si>
  <si>
    <t>Tuore, MWh</t>
  </si>
  <si>
    <t>Tuore, m³/ha</t>
  </si>
  <si>
    <t>Tuore, MWh/ha</t>
  </si>
  <si>
    <t>Vv-kuiva, m³</t>
  </si>
  <si>
    <t>Vv-kuiva, Mwh</t>
  </si>
  <si>
    <t>Vv-kuiva, m³/ha</t>
  </si>
  <si>
    <t>Vv-kuiva, Mwh/ha</t>
  </si>
  <si>
    <t>Palstakuiva, m³</t>
  </si>
  <si>
    <t>Palstakuiva, MWh</t>
  </si>
  <si>
    <t>Palstakuiva, m³/ha</t>
  </si>
  <si>
    <t>Palstakuiva, MWh/ha</t>
  </si>
  <si>
    <r>
      <t>Hakkuutähteen kosteus %,</t>
    </r>
    <r>
      <rPr>
        <b/>
        <sz val="10"/>
        <color indexed="17"/>
        <rFont val="Arial"/>
        <family val="2"/>
      </rPr>
      <t xml:space="preserve"> tuore</t>
    </r>
  </si>
  <si>
    <r>
      <t>Talteensaanto %,</t>
    </r>
    <r>
      <rPr>
        <b/>
        <sz val="10"/>
        <color indexed="17"/>
        <rFont val="Arial"/>
        <family val="2"/>
      </rPr>
      <t xml:space="preserve"> tuore</t>
    </r>
  </si>
  <si>
    <r>
      <t>Hakkuutähteen kosteus %,</t>
    </r>
    <r>
      <rPr>
        <b/>
        <sz val="10"/>
        <color indexed="53"/>
        <rFont val="Arial"/>
        <family val="2"/>
      </rPr>
      <t xml:space="preserve"> vv-kuiva</t>
    </r>
  </si>
  <si>
    <r>
      <t>Talteensaanto %,</t>
    </r>
    <r>
      <rPr>
        <b/>
        <sz val="10"/>
        <color indexed="53"/>
        <rFont val="Arial"/>
        <family val="2"/>
      </rPr>
      <t xml:space="preserve"> vv-kuiva</t>
    </r>
  </si>
  <si>
    <r>
      <t>Hakkuutähteen kosteus %,</t>
    </r>
    <r>
      <rPr>
        <b/>
        <sz val="10"/>
        <color indexed="16"/>
        <rFont val="Arial"/>
        <family val="2"/>
      </rPr>
      <t xml:space="preserve"> palstakuiva</t>
    </r>
  </si>
  <si>
    <r>
      <t>Talteensaanto %,</t>
    </r>
    <r>
      <rPr>
        <b/>
        <sz val="10"/>
        <color indexed="16"/>
        <rFont val="Arial"/>
        <family val="2"/>
      </rPr>
      <t xml:space="preserve"> palstakuiva</t>
    </r>
  </si>
  <si>
    <t>Paalaus</t>
  </si>
  <si>
    <t>Kaukokuljetus</t>
  </si>
  <si>
    <t>Vv-haketus, v-varasto</t>
  </si>
  <si>
    <t>Irtorisu, v-varasto</t>
  </si>
  <si>
    <t>Risutukki, v-varasto</t>
  </si>
  <si>
    <t>Vv-murskaus, v-varasto</t>
  </si>
  <si>
    <t>Vv-haketus, palstakuiva</t>
  </si>
  <si>
    <t>Vv-murskaus, palstakuiva</t>
  </si>
  <si>
    <t>Irtorisu, palstakuiva</t>
  </si>
  <si>
    <t>Palstahaketus, palstakuiva</t>
  </si>
  <si>
    <t>Risutukki, palstakuiva</t>
  </si>
  <si>
    <t>Palstahaketus ja metsäkuljetus</t>
  </si>
  <si>
    <t>Vv-haketus, tuore ht</t>
  </si>
  <si>
    <t>Vv-murskaus, tuore ht</t>
  </si>
  <si>
    <t>Irtorisu, tuore ht</t>
  </si>
  <si>
    <t>Palstahaketus, tuore ht</t>
  </si>
  <si>
    <t>Risutukki, tuore ht</t>
  </si>
  <si>
    <t>Risutukkien kuiva-ainehävikki varastoinnissa</t>
  </si>
  <si>
    <t>Pääoman vuotuinen korko, %</t>
  </si>
  <si>
    <t>Korkolaskelmat</t>
  </si>
  <si>
    <t>Palsta ht</t>
  </si>
  <si>
    <t>Metsä tr</t>
  </si>
  <si>
    <t>Maatal. tr</t>
  </si>
  <si>
    <t>Korkotekijä</t>
  </si>
  <si>
    <t>Aika, v</t>
  </si>
  <si>
    <t>Korko mukana</t>
  </si>
  <si>
    <t>Korkokulu</t>
  </si>
  <si>
    <t>Välivarasto rt, mk/m³</t>
  </si>
  <si>
    <t>Tuottavuuden aleneminen kuivalla.hak.täh</t>
  </si>
  <si>
    <t>Mät,  m³</t>
  </si>
  <si>
    <t>Kut,  m³</t>
  </si>
  <si>
    <t>Let,  m³</t>
  </si>
  <si>
    <t>Mäk,  m³</t>
  </si>
  <si>
    <t>Kuk,  m³</t>
  </si>
  <si>
    <t>Lek,  m³</t>
  </si>
  <si>
    <t>Ainespuuta yht. m³</t>
  </si>
  <si>
    <t>taakkakoko</t>
  </si>
  <si>
    <t>Ajouravarsitiheys</t>
  </si>
  <si>
    <t>z-kerroin</t>
  </si>
  <si>
    <t>Työpiste</t>
  </si>
  <si>
    <t>Taakka</t>
  </si>
  <si>
    <t>Taakkakoko</t>
  </si>
  <si>
    <t>MWh</t>
  </si>
  <si>
    <t>-</t>
  </si>
  <si>
    <t>Risutukkien kosteus kuivatettaessa välivarastolla</t>
  </si>
  <si>
    <t>aika/per kuorma</t>
  </si>
  <si>
    <t>Käyttötuntituottavuus, m³/h</t>
  </si>
  <si>
    <t>Työmaatiedot</t>
  </si>
  <si>
    <t>Tulokset:</t>
  </si>
  <si>
    <t>Välivarastohaketus tai -murskaus</t>
  </si>
  <si>
    <t>Muut kulut yht.</t>
  </si>
  <si>
    <t xml:space="preserve">       Neulasten yms. varisemisesta johtuva kertymän pieneneminen tuoreeseen hakkuutähteeseen verrattuna.</t>
  </si>
  <si>
    <t>Käyttöpaikkakustannus yht.</t>
  </si>
  <si>
    <t>Irtorisu &amp; käyttöpaikkamurskaus</t>
  </si>
  <si>
    <t>Risutukki &amp; käyttöpaikkamurskaus</t>
  </si>
  <si>
    <r>
      <t xml:space="preserve">Risutukin tilavuus m³, </t>
    </r>
    <r>
      <rPr>
        <b/>
        <sz val="11"/>
        <color indexed="17"/>
        <rFont val="Comic Sans MS"/>
        <family val="4"/>
      </rPr>
      <t>tuore kuusiht</t>
    </r>
  </si>
  <si>
    <r>
      <t xml:space="preserve">Risutukin tilavuus m³, </t>
    </r>
    <r>
      <rPr>
        <b/>
        <sz val="11"/>
        <color indexed="16"/>
        <rFont val="Comic Sans MS"/>
        <family val="4"/>
      </rPr>
      <t>kuiva kuusiht</t>
    </r>
  </si>
  <si>
    <r>
      <t xml:space="preserve">Risutukin tilavuus m³, </t>
    </r>
    <r>
      <rPr>
        <b/>
        <sz val="11"/>
        <color indexed="17"/>
        <rFont val="Comic Sans MS"/>
        <family val="4"/>
      </rPr>
      <t>tuore mäntyht</t>
    </r>
  </si>
  <si>
    <r>
      <t xml:space="preserve">Risutukin tilavuus m³, </t>
    </r>
    <r>
      <rPr>
        <b/>
        <sz val="11"/>
        <color indexed="16"/>
        <rFont val="Comic Sans MS"/>
        <family val="4"/>
      </rPr>
      <t>kuiva mäntyht</t>
    </r>
  </si>
  <si>
    <r>
      <t xml:space="preserve">Tuottavuus, RT/käyttötunti, </t>
    </r>
    <r>
      <rPr>
        <b/>
        <sz val="11"/>
        <color indexed="17"/>
        <rFont val="Comic Sans MS"/>
        <family val="4"/>
      </rPr>
      <t>tuore kuusiht.</t>
    </r>
  </si>
  <si>
    <r>
      <t xml:space="preserve">Tuottavuus, RT/käyttötunti, </t>
    </r>
    <r>
      <rPr>
        <b/>
        <sz val="11"/>
        <color indexed="16"/>
        <rFont val="Comic Sans MS"/>
        <family val="4"/>
      </rPr>
      <t>kuiva kuusiht.</t>
    </r>
  </si>
  <si>
    <r>
      <t xml:space="preserve">Tuottavuus, RT/käyttötunti, </t>
    </r>
    <r>
      <rPr>
        <b/>
        <sz val="11"/>
        <color indexed="17"/>
        <rFont val="Comic Sans MS"/>
        <family val="4"/>
      </rPr>
      <t>tuore mäntyht.</t>
    </r>
  </si>
  <si>
    <r>
      <t>Tuottavuus, RT/käyttötunti,</t>
    </r>
    <r>
      <rPr>
        <b/>
        <sz val="11"/>
        <color indexed="60"/>
        <rFont val="Comic Sans MS"/>
        <family val="4"/>
      </rPr>
      <t xml:space="preserve"> </t>
    </r>
    <r>
      <rPr>
        <b/>
        <sz val="11"/>
        <color indexed="16"/>
        <rFont val="Comic Sans MS"/>
        <family val="4"/>
      </rPr>
      <t>kuiva mäntyht</t>
    </r>
    <r>
      <rPr>
        <b/>
        <sz val="11"/>
        <color indexed="60"/>
        <rFont val="Comic Sans MS"/>
        <family val="4"/>
      </rPr>
      <t>.</t>
    </r>
  </si>
  <si>
    <t>Hakkuutähdehakkeen kustannuslaskentaohjelma</t>
  </si>
  <si>
    <t xml:space="preserve">   Metsäntutkimuslaitos, Joensuun tutkimuskeskus</t>
  </si>
  <si>
    <t xml:space="preserve">   Ohjelma laskee hakkuutähdehakkeen käyttöpaikkahinnan </t>
  </si>
  <si>
    <t>"Hakkuutähdehakkeen kustannustekijät ja suurimittakaavaisen</t>
  </si>
  <si>
    <t xml:space="preserve">               hankinnan logistiikka" projektin tuloksiin. </t>
  </si>
  <si>
    <t>Tuore ht, €/m³</t>
  </si>
  <si>
    <t>Välivarasto ht, €/m³</t>
  </si>
  <si>
    <t>Palsta ht, €/m³</t>
  </si>
  <si>
    <t>Tuore ht, €/MWh</t>
  </si>
  <si>
    <t>Välivarasto ht, €/MWh</t>
  </si>
  <si>
    <t>Palsta ht, €/MWh</t>
  </si>
  <si>
    <t>Hak. täh. kantohinta, €/m³</t>
  </si>
  <si>
    <t>Korvaus kasoillehakkuusta, €/m³</t>
  </si>
  <si>
    <t>Organisaatiokulut, €/m³</t>
  </si>
  <si>
    <t>Peittämiskustannus, €/m³</t>
  </si>
  <si>
    <t xml:space="preserve"> Välivarasto ht, €/MWh</t>
  </si>
  <si>
    <t>Metsätraktorin tuntikustannus, €/h</t>
  </si>
  <si>
    <t>Maatal.traktorin tuntikustannus, €/h</t>
  </si>
  <si>
    <t>Metsä tr:n siirtokustannus,  €/kerta</t>
  </si>
  <si>
    <t>Hakkurin tuntikustannus, €/h</t>
  </si>
  <si>
    <t>Hakkurin siirtokustannus, €/kerta</t>
  </si>
  <si>
    <t>Murskaimen tuntikustannus, €/h</t>
  </si>
  <si>
    <t>Murskaimen siirtokustannus, €/kerta</t>
  </si>
  <si>
    <t>Kuormaus- ja purkukustannus, €/h</t>
  </si>
  <si>
    <t>Ajotuntikustannus, €/h</t>
  </si>
  <si>
    <t>Palstahakkurin tuntikustannus, €/h</t>
  </si>
  <si>
    <t>Siirtokustannus, €/kerta</t>
  </si>
  <si>
    <t>Siirtokustannus €/kerta</t>
  </si>
  <si>
    <t>Murskauskustannus, €/m³</t>
  </si>
  <si>
    <t>Hakkuutähdepaalaimen tuntikustannus, €/h</t>
  </si>
  <si>
    <t>Käyttötunti/tehotunti kerroin</t>
  </si>
  <si>
    <t>Käyttötunti/tehotunti kerroin, metsätr.</t>
  </si>
  <si>
    <t>Käyttötunti/tehotunti kerroin, maatal.tr.</t>
  </si>
  <si>
    <t xml:space="preserve"> © Juha Laitila &amp; Tapio Ranta</t>
  </si>
  <si>
    <t>Kaukokuljetusmatka välivarastolta terminaaliin, km</t>
  </si>
  <si>
    <t>Kaukokuljetusmatka terminaalista käyttäjälle, km</t>
  </si>
  <si>
    <t>Hakkuutähteen kuljetus välivarastolta terminaaliin</t>
  </si>
  <si>
    <t>Kuljetuskustannus terminaaliin</t>
  </si>
  <si>
    <t>Terminaalihaketus</t>
  </si>
  <si>
    <t>Haketuskustannus, €/m³</t>
  </si>
  <si>
    <t>Kuormauksen tuottavuus, i-m³ (irto) tunnissa</t>
  </si>
  <si>
    <t>Hakeauton kuormakoko, i-m³ (irto)</t>
  </si>
  <si>
    <t>Hakeauton kuormaus- ja purkukustannus, €/h</t>
  </si>
  <si>
    <t>Hakeauton ajotuntikustannus, €/h</t>
  </si>
  <si>
    <t>Hakeauton purkuaika käyttöpaikalla</t>
  </si>
  <si>
    <t>Terminaalikustannus</t>
  </si>
  <si>
    <t>Kaukokuljetus terminaalista käyttäjälle</t>
  </si>
  <si>
    <t>Rangan varastointiaika terminaalissa, kk</t>
  </si>
  <si>
    <t>Irtorisu &amp; terminaalihaketus</t>
  </si>
  <si>
    <t xml:space="preserve">  Malli laskee hakkuutähteen varastointiin sitoutuneen pääoman koron ja lisää sen käyttöpaikkahintaan</t>
  </si>
  <si>
    <t>Risutukkien kuljetus terminaaliin</t>
  </si>
  <si>
    <t>Terminaalimurskaus</t>
  </si>
  <si>
    <t>Terminaalimurskauskustannus</t>
  </si>
  <si>
    <t>Irtorisu &amp; terminaali, maatal.tr.</t>
  </si>
  <si>
    <t>Risutukki &amp; terminaali</t>
  </si>
  <si>
    <t>Irtorisu &amp; terminaali, metsätr.</t>
  </si>
  <si>
    <t xml:space="preserve"> 1 i-m³ (irto) = 0,4 m³ (kiintoa)</t>
  </si>
  <si>
    <t>Risutukki &amp; terminaalihaketus</t>
  </si>
  <si>
    <t xml:space="preserve">             Huomaa murskain vaihtoehto</t>
  </si>
  <si>
    <t>välivarasto-, palsta- terminaali- ja käyttöpaikkahaketukseen perustuvilla</t>
  </si>
  <si>
    <r>
      <t xml:space="preserve">Hakkuutähteen kosteus %, </t>
    </r>
    <r>
      <rPr>
        <b/>
        <sz val="11"/>
        <color indexed="17"/>
        <rFont val="Comic Sans MS"/>
        <family val="4"/>
      </rPr>
      <t>tuore hakkuutähde</t>
    </r>
  </si>
  <si>
    <r>
      <t>Talteensaanto %,</t>
    </r>
    <r>
      <rPr>
        <b/>
        <sz val="11"/>
        <color indexed="21"/>
        <rFont val="Comic Sans MS"/>
        <family val="4"/>
      </rPr>
      <t xml:space="preserve"> </t>
    </r>
    <r>
      <rPr>
        <b/>
        <sz val="11"/>
        <color indexed="17"/>
        <rFont val="Comic Sans MS"/>
        <family val="4"/>
      </rPr>
      <t>tuore hakkuutähde</t>
    </r>
  </si>
  <si>
    <r>
      <t xml:space="preserve">Hakkuutähteen kosteus %, </t>
    </r>
    <r>
      <rPr>
        <b/>
        <sz val="11"/>
        <color indexed="52"/>
        <rFont val="Comic Sans MS"/>
        <family val="4"/>
      </rPr>
      <t>välivarastolla kuivattu ht</t>
    </r>
  </si>
  <si>
    <r>
      <t xml:space="preserve">Kuivumishävikki %, </t>
    </r>
    <r>
      <rPr>
        <b/>
        <sz val="11"/>
        <color indexed="52"/>
        <rFont val="Comic Sans MS"/>
        <family val="4"/>
      </rPr>
      <t>välivarastolla kuivattu ht</t>
    </r>
  </si>
  <si>
    <r>
      <t>Hakkuutähteen kosteus %,</t>
    </r>
    <r>
      <rPr>
        <b/>
        <sz val="11"/>
        <color indexed="60"/>
        <rFont val="Comic Sans MS"/>
        <family val="4"/>
      </rPr>
      <t xml:space="preserve"> palstalla kuivattu ht</t>
    </r>
  </si>
  <si>
    <r>
      <t>Kuivumishävikki %,</t>
    </r>
    <r>
      <rPr>
        <b/>
        <sz val="11"/>
        <color indexed="60"/>
        <rFont val="Comic Sans MS"/>
        <family val="4"/>
      </rPr>
      <t xml:space="preserve"> palstalla kuivattu ht</t>
    </r>
  </si>
  <si>
    <t>Kuormauskustannus terminaalissa, €/m³</t>
  </si>
  <si>
    <t xml:space="preserve">   menetelmillä. Tuottavuus ja kustannustiedot perustuvat pääosin</t>
  </si>
  <si>
    <t>Hakkuutähdehakkeen käsittely terminaalissa ja kuljetus loppukäyttäjälle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</si>
</sst>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0000000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0.0000000000"/>
    <numFmt numFmtId="181" formatCode="0.00000000000"/>
    <numFmt numFmtId="182" formatCode="0.000000000000"/>
    <numFmt numFmtId="183" formatCode="0.0\ %"/>
    <numFmt numFmtId="184" formatCode="0.0000000000000"/>
    <numFmt numFmtId="185" formatCode="#,##0.0\ _m_k"/>
  </numFmts>
  <fonts count="118">
    <font>
      <sz val="10"/>
      <name val="Arial"/>
      <family val="0"/>
    </font>
    <font>
      <sz val="10"/>
      <color indexed="53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6"/>
      <color indexed="17"/>
      <name val="Arial"/>
      <family val="2"/>
    </font>
    <font>
      <sz val="10"/>
      <color indexed="19"/>
      <name val="Arial"/>
      <family val="2"/>
    </font>
    <font>
      <b/>
      <sz val="13"/>
      <color indexed="17"/>
      <name val="Arial"/>
      <family val="2"/>
    </font>
    <font>
      <b/>
      <sz val="12"/>
      <color indexed="17"/>
      <name val="Arial"/>
      <family val="2"/>
    </font>
    <font>
      <sz val="10"/>
      <color indexed="16"/>
      <name val="Arial"/>
      <family val="2"/>
    </font>
    <font>
      <b/>
      <sz val="10"/>
      <color indexed="16"/>
      <name val="Arial"/>
      <family val="2"/>
    </font>
    <font>
      <sz val="13"/>
      <name val="Arial"/>
      <family val="2"/>
    </font>
    <font>
      <b/>
      <sz val="10"/>
      <color indexed="12"/>
      <name val="Helv"/>
      <family val="0"/>
    </font>
    <font>
      <b/>
      <sz val="13"/>
      <name val="Arial"/>
      <family val="2"/>
    </font>
    <font>
      <b/>
      <sz val="12"/>
      <color indexed="60"/>
      <name val="Arial"/>
      <family val="2"/>
    </font>
    <font>
      <b/>
      <sz val="10"/>
      <color indexed="60"/>
      <name val="Arial"/>
      <family val="2"/>
    </font>
    <font>
      <b/>
      <u val="single"/>
      <sz val="12"/>
      <name val="Arial"/>
      <family val="2"/>
    </font>
    <font>
      <b/>
      <u val="single"/>
      <sz val="13"/>
      <name val="Arial"/>
      <family val="2"/>
    </font>
    <font>
      <sz val="12"/>
      <name val="Arial"/>
      <family val="2"/>
    </font>
    <font>
      <b/>
      <sz val="10"/>
      <color indexed="48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4"/>
      <color indexed="17"/>
      <name val="Arial"/>
      <family val="2"/>
    </font>
    <font>
      <b/>
      <sz val="11"/>
      <name val="Arial"/>
      <family val="2"/>
    </font>
    <font>
      <b/>
      <sz val="14"/>
      <color indexed="60"/>
      <name val="Arial"/>
      <family val="2"/>
    </font>
    <font>
      <sz val="11"/>
      <name val="Arial"/>
      <family val="2"/>
    </font>
    <font>
      <b/>
      <sz val="10"/>
      <color indexed="53"/>
      <name val="Arial"/>
      <family val="2"/>
    </font>
    <font>
      <sz val="10"/>
      <color indexed="60"/>
      <name val="Arial"/>
      <family val="2"/>
    </font>
    <font>
      <b/>
      <sz val="10"/>
      <color indexed="51"/>
      <name val="Arial"/>
      <family val="2"/>
    </font>
    <font>
      <b/>
      <sz val="13"/>
      <color indexed="12"/>
      <name val="Arial"/>
      <family val="2"/>
    </font>
    <font>
      <b/>
      <sz val="12"/>
      <name val="Comic Sans MS"/>
      <family val="4"/>
    </font>
    <font>
      <sz val="12"/>
      <name val="Comic Sans MS"/>
      <family val="4"/>
    </font>
    <font>
      <b/>
      <sz val="18"/>
      <name val="Comic Sans MS"/>
      <family val="4"/>
    </font>
    <font>
      <b/>
      <sz val="10"/>
      <name val="Comic Sans MS"/>
      <family val="4"/>
    </font>
    <font>
      <b/>
      <sz val="11"/>
      <name val="Comic Sans MS"/>
      <family val="4"/>
    </font>
    <font>
      <b/>
      <sz val="10"/>
      <color indexed="17"/>
      <name val="Comic Sans MS"/>
      <family val="4"/>
    </font>
    <font>
      <sz val="10"/>
      <name val="Comic Sans MS"/>
      <family val="4"/>
    </font>
    <font>
      <b/>
      <sz val="10"/>
      <color indexed="53"/>
      <name val="Comic Sans MS"/>
      <family val="4"/>
    </font>
    <font>
      <b/>
      <sz val="11"/>
      <color indexed="17"/>
      <name val="Comic Sans MS"/>
      <family val="4"/>
    </font>
    <font>
      <sz val="11"/>
      <name val="Comic Sans MS"/>
      <family val="4"/>
    </font>
    <font>
      <b/>
      <sz val="11"/>
      <color indexed="60"/>
      <name val="Comic Sans MS"/>
      <family val="4"/>
    </font>
    <font>
      <sz val="12"/>
      <color indexed="17"/>
      <name val="Comic Sans MS"/>
      <family val="4"/>
    </font>
    <font>
      <sz val="12"/>
      <color indexed="53"/>
      <name val="Comic Sans MS"/>
      <family val="4"/>
    </font>
    <font>
      <sz val="12"/>
      <color indexed="60"/>
      <name val="Comic Sans MS"/>
      <family val="4"/>
    </font>
    <font>
      <sz val="13"/>
      <name val="Comic Sans MS"/>
      <family val="4"/>
    </font>
    <font>
      <b/>
      <sz val="13"/>
      <name val="Comic Sans MS"/>
      <family val="4"/>
    </font>
    <font>
      <b/>
      <sz val="12"/>
      <color indexed="12"/>
      <name val="Arial"/>
      <family val="2"/>
    </font>
    <font>
      <sz val="13"/>
      <color indexed="53"/>
      <name val="Comic Sans MS"/>
      <family val="4"/>
    </font>
    <font>
      <b/>
      <sz val="10"/>
      <color indexed="16"/>
      <name val="Comic Sans MS"/>
      <family val="4"/>
    </font>
    <font>
      <sz val="12"/>
      <color indexed="16"/>
      <name val="Comic Sans MS"/>
      <family val="4"/>
    </font>
    <font>
      <sz val="12"/>
      <color indexed="8"/>
      <name val="Comic Sans MS"/>
      <family val="4"/>
    </font>
    <font>
      <b/>
      <sz val="12"/>
      <color indexed="8"/>
      <name val="Comic Sans MS"/>
      <family val="4"/>
    </font>
    <font>
      <sz val="10"/>
      <color indexed="17"/>
      <name val="Comic Sans MS"/>
      <family val="4"/>
    </font>
    <font>
      <b/>
      <sz val="12"/>
      <color indexed="16"/>
      <name val="Arial"/>
      <family val="0"/>
    </font>
    <font>
      <sz val="14"/>
      <color indexed="8"/>
      <name val="Comic Sans MS"/>
      <family val="4"/>
    </font>
    <font>
      <b/>
      <sz val="18"/>
      <color indexed="8"/>
      <name val="Comic Sans MS"/>
      <family val="4"/>
    </font>
    <font>
      <sz val="14"/>
      <name val="Comic Sans MS"/>
      <family val="4"/>
    </font>
    <font>
      <b/>
      <sz val="11"/>
      <color indexed="16"/>
      <name val="Comic Sans MS"/>
      <family val="4"/>
    </font>
    <font>
      <b/>
      <sz val="14"/>
      <name val="Comic Sans MS"/>
      <family val="4"/>
    </font>
    <font>
      <b/>
      <sz val="26"/>
      <name val="Comic Sans MS"/>
      <family val="4"/>
    </font>
    <font>
      <sz val="8"/>
      <name val="Arial"/>
      <family val="0"/>
    </font>
    <font>
      <sz val="12"/>
      <color indexed="58"/>
      <name val="Comic Sans MS"/>
      <family val="4"/>
    </font>
    <font>
      <sz val="12"/>
      <color indexed="41"/>
      <name val="Comic Sans MS"/>
      <family val="4"/>
    </font>
    <font>
      <sz val="12"/>
      <color indexed="13"/>
      <name val="Comic Sans MS"/>
      <family val="4"/>
    </font>
    <font>
      <sz val="12"/>
      <color indexed="43"/>
      <name val="Comic Sans MS"/>
      <family val="4"/>
    </font>
    <font>
      <b/>
      <sz val="11"/>
      <color indexed="21"/>
      <name val="Comic Sans MS"/>
      <family val="4"/>
    </font>
    <font>
      <sz val="10"/>
      <color indexed="41"/>
      <name val="Arial"/>
      <family val="0"/>
    </font>
    <font>
      <b/>
      <sz val="12"/>
      <color indexed="41"/>
      <name val="Arial"/>
      <family val="0"/>
    </font>
    <font>
      <b/>
      <u val="single"/>
      <sz val="12"/>
      <color indexed="41"/>
      <name val="Arial"/>
      <family val="2"/>
    </font>
    <font>
      <sz val="10"/>
      <color indexed="9"/>
      <name val="Arial"/>
      <family val="0"/>
    </font>
    <font>
      <b/>
      <sz val="18"/>
      <color indexed="9"/>
      <name val="Comic Sans MS"/>
      <family val="4"/>
    </font>
    <font>
      <b/>
      <sz val="11"/>
      <color indexed="8"/>
      <name val="Comic Sans MS"/>
      <family val="4"/>
    </font>
    <font>
      <b/>
      <sz val="18"/>
      <color indexed="13"/>
      <name val="Comic Sans MS"/>
      <family val="4"/>
    </font>
    <font>
      <b/>
      <sz val="11"/>
      <color indexed="52"/>
      <name val="Comic Sans MS"/>
      <family val="4"/>
    </font>
    <font>
      <sz val="10"/>
      <color indexed="48"/>
      <name val="Arial"/>
      <family val="2"/>
    </font>
    <font>
      <b/>
      <sz val="13"/>
      <color indexed="48"/>
      <name val="Arial"/>
      <family val="2"/>
    </font>
    <font>
      <b/>
      <sz val="18"/>
      <color indexed="21"/>
      <name val="Comic Sans MS"/>
      <family val="4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0.25"/>
      <color indexed="8"/>
      <name val="Arial"/>
      <family val="0"/>
    </font>
    <font>
      <sz val="9"/>
      <color indexed="8"/>
      <name val="Comic Sans MS"/>
      <family val="0"/>
    </font>
    <font>
      <sz val="10.25"/>
      <color indexed="8"/>
      <name val="Comic Sans MS"/>
      <family val="0"/>
    </font>
    <font>
      <sz val="11.75"/>
      <color indexed="8"/>
      <name val="Comic Sans MS"/>
      <family val="0"/>
    </font>
    <font>
      <sz val="11.95"/>
      <color indexed="8"/>
      <name val="Comic Sans MS"/>
      <family val="0"/>
    </font>
    <font>
      <sz val="9"/>
      <color indexed="13"/>
      <name val="Comic Sans M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1" fillId="2" borderId="0" applyNumberFormat="0" applyBorder="0" applyAlignment="0" applyProtection="0"/>
    <xf numFmtId="0" fontId="101" fillId="3" borderId="0" applyNumberFormat="0" applyBorder="0" applyAlignment="0" applyProtection="0"/>
    <xf numFmtId="0" fontId="101" fillId="4" borderId="0" applyNumberFormat="0" applyBorder="0" applyAlignment="0" applyProtection="0"/>
    <xf numFmtId="0" fontId="101" fillId="5" borderId="0" applyNumberFormat="0" applyBorder="0" applyAlignment="0" applyProtection="0"/>
    <xf numFmtId="0" fontId="101" fillId="6" borderId="0" applyNumberFormat="0" applyBorder="0" applyAlignment="0" applyProtection="0"/>
    <xf numFmtId="0" fontId="101" fillId="7" borderId="0" applyNumberFormat="0" applyBorder="0" applyAlignment="0" applyProtection="0"/>
    <xf numFmtId="0" fontId="101" fillId="8" borderId="0" applyNumberFormat="0" applyBorder="0" applyAlignment="0" applyProtection="0"/>
    <xf numFmtId="0" fontId="101" fillId="9" borderId="0" applyNumberFormat="0" applyBorder="0" applyAlignment="0" applyProtection="0"/>
    <xf numFmtId="0" fontId="101" fillId="10" borderId="0" applyNumberFormat="0" applyBorder="0" applyAlignment="0" applyProtection="0"/>
    <xf numFmtId="0" fontId="101" fillId="11" borderId="0" applyNumberFormat="0" applyBorder="0" applyAlignment="0" applyProtection="0"/>
    <xf numFmtId="0" fontId="101" fillId="12" borderId="0" applyNumberFormat="0" applyBorder="0" applyAlignment="0" applyProtection="0"/>
    <xf numFmtId="0" fontId="101" fillId="13" borderId="0" applyNumberFormat="0" applyBorder="0" applyAlignment="0" applyProtection="0"/>
    <xf numFmtId="0" fontId="102" fillId="14" borderId="0" applyNumberFormat="0" applyBorder="0" applyAlignment="0" applyProtection="0"/>
    <xf numFmtId="0" fontId="102" fillId="15" borderId="0" applyNumberFormat="0" applyBorder="0" applyAlignment="0" applyProtection="0"/>
    <xf numFmtId="0" fontId="102" fillId="16" borderId="0" applyNumberFormat="0" applyBorder="0" applyAlignment="0" applyProtection="0"/>
    <xf numFmtId="0" fontId="102" fillId="17" borderId="0" applyNumberFormat="0" applyBorder="0" applyAlignment="0" applyProtection="0"/>
    <xf numFmtId="0" fontId="102" fillId="18" borderId="0" applyNumberFormat="0" applyBorder="0" applyAlignment="0" applyProtection="0"/>
    <xf numFmtId="0" fontId="102" fillId="19" borderId="0" applyNumberFormat="0" applyBorder="0" applyAlignment="0" applyProtection="0"/>
    <xf numFmtId="0" fontId="102" fillId="20" borderId="0" applyNumberFormat="0" applyBorder="0" applyAlignment="0" applyProtection="0"/>
    <xf numFmtId="0" fontId="102" fillId="21" borderId="0" applyNumberFormat="0" applyBorder="0" applyAlignment="0" applyProtection="0"/>
    <xf numFmtId="0" fontId="102" fillId="22" borderId="0" applyNumberFormat="0" applyBorder="0" applyAlignment="0" applyProtection="0"/>
    <xf numFmtId="0" fontId="102" fillId="23" borderId="0" applyNumberFormat="0" applyBorder="0" applyAlignment="0" applyProtection="0"/>
    <xf numFmtId="0" fontId="102" fillId="24" borderId="0" applyNumberFormat="0" applyBorder="0" applyAlignment="0" applyProtection="0"/>
    <xf numFmtId="0" fontId="102" fillId="25" borderId="0" applyNumberFormat="0" applyBorder="0" applyAlignment="0" applyProtection="0"/>
    <xf numFmtId="0" fontId="103" fillId="26" borderId="0" applyNumberFormat="0" applyBorder="0" applyAlignment="0" applyProtection="0"/>
    <xf numFmtId="0" fontId="104" fillId="27" borderId="1" applyNumberFormat="0" applyAlignment="0" applyProtection="0"/>
    <xf numFmtId="0" fontId="10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6" fillId="0" borderId="0" applyNumberFormat="0" applyFill="0" applyBorder="0" applyAlignment="0" applyProtection="0"/>
    <xf numFmtId="0" fontId="107" fillId="29" borderId="0" applyNumberFormat="0" applyBorder="0" applyAlignment="0" applyProtection="0"/>
    <xf numFmtId="0" fontId="108" fillId="0" borderId="3" applyNumberFormat="0" applyFill="0" applyAlignment="0" applyProtection="0"/>
    <xf numFmtId="0" fontId="109" fillId="0" borderId="4" applyNumberFormat="0" applyFill="0" applyAlignment="0" applyProtection="0"/>
    <xf numFmtId="0" fontId="110" fillId="0" borderId="5" applyNumberFormat="0" applyFill="0" applyAlignment="0" applyProtection="0"/>
    <xf numFmtId="0" fontId="110" fillId="0" borderId="0" applyNumberFormat="0" applyFill="0" applyBorder="0" applyAlignment="0" applyProtection="0"/>
    <xf numFmtId="0" fontId="111" fillId="30" borderId="1" applyNumberFormat="0" applyAlignment="0" applyProtection="0"/>
    <xf numFmtId="0" fontId="112" fillId="0" borderId="6" applyNumberFormat="0" applyFill="0" applyAlignment="0" applyProtection="0"/>
    <xf numFmtId="0" fontId="113" fillId="31" borderId="0" applyNumberFormat="0" applyBorder="0" applyAlignment="0" applyProtection="0"/>
    <xf numFmtId="0" fontId="0" fillId="32" borderId="7" applyNumberFormat="0" applyFont="0" applyAlignment="0" applyProtection="0"/>
    <xf numFmtId="0" fontId="114" fillId="27" borderId="8" applyNumberFormat="0" applyAlignment="0" applyProtection="0"/>
    <xf numFmtId="9" fontId="0" fillId="0" borderId="0" applyFon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9" applyNumberFormat="0" applyFill="0" applyAlignment="0" applyProtection="0"/>
    <xf numFmtId="0" fontId="117" fillId="0" borderId="0" applyNumberFormat="0" applyFill="0" applyBorder="0" applyAlignment="0" applyProtection="0"/>
  </cellStyleXfs>
  <cellXfs count="40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6" fillId="33" borderId="0" xfId="0" applyFont="1" applyFill="1" applyAlignment="1">
      <alignment horizontal="left"/>
    </xf>
    <xf numFmtId="0" fontId="17" fillId="33" borderId="0" xfId="0" applyFont="1" applyFill="1" applyAlignment="1">
      <alignment/>
    </xf>
    <xf numFmtId="0" fontId="4" fillId="33" borderId="0" xfId="0" applyFont="1" applyFill="1" applyAlignment="1" quotePrefix="1">
      <alignment horizontal="left"/>
    </xf>
    <xf numFmtId="0" fontId="4" fillId="33" borderId="0" xfId="0" applyFont="1" applyFill="1" applyAlignment="1">
      <alignment horizontal="left"/>
    </xf>
    <xf numFmtId="0" fontId="4" fillId="33" borderId="0" xfId="0" applyFont="1" applyFill="1" applyBorder="1" applyAlignment="1" quotePrefix="1">
      <alignment horizontal="left"/>
    </xf>
    <xf numFmtId="0" fontId="0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16" fillId="33" borderId="0" xfId="0" applyFont="1" applyFill="1" applyAlignment="1">
      <alignment/>
    </xf>
    <xf numFmtId="0" fontId="16" fillId="33" borderId="0" xfId="0" applyFont="1" applyFill="1" applyAlignment="1" quotePrefix="1">
      <alignment horizontal="left"/>
    </xf>
    <xf numFmtId="1" fontId="0" fillId="33" borderId="0" xfId="0" applyNumberFormat="1" applyFill="1" applyAlignment="1">
      <alignment/>
    </xf>
    <xf numFmtId="0" fontId="0" fillId="33" borderId="0" xfId="0" applyFill="1" applyAlignment="1" quotePrefix="1">
      <alignment horizontal="left"/>
    </xf>
    <xf numFmtId="179" fontId="0" fillId="33" borderId="0" xfId="0" applyNumberFormat="1" applyFill="1" applyAlignment="1">
      <alignment/>
    </xf>
    <xf numFmtId="0" fontId="19" fillId="33" borderId="0" xfId="0" applyFont="1" applyFill="1" applyBorder="1" applyAlignment="1">
      <alignment/>
    </xf>
    <xf numFmtId="0" fontId="19" fillId="33" borderId="0" xfId="0" applyFont="1" applyFill="1" applyAlignment="1">
      <alignment/>
    </xf>
    <xf numFmtId="0" fontId="4" fillId="33" borderId="0" xfId="0" applyFont="1" applyFill="1" applyAlignment="1">
      <alignment/>
    </xf>
    <xf numFmtId="1" fontId="19" fillId="33" borderId="0" xfId="0" applyNumberFormat="1" applyFont="1" applyFill="1" applyAlignment="1">
      <alignment/>
    </xf>
    <xf numFmtId="0" fontId="4" fillId="33" borderId="10" xfId="0" applyFont="1" applyFill="1" applyBorder="1" applyAlignment="1">
      <alignment/>
    </xf>
    <xf numFmtId="0" fontId="19" fillId="33" borderId="0" xfId="0" applyFont="1" applyFill="1" applyAlignment="1" quotePrefix="1">
      <alignment horizontal="left"/>
    </xf>
    <xf numFmtId="179" fontId="19" fillId="33" borderId="0" xfId="0" applyNumberFormat="1" applyFont="1" applyFill="1" applyAlignment="1">
      <alignment/>
    </xf>
    <xf numFmtId="0" fontId="8" fillId="33" borderId="0" xfId="0" applyFont="1" applyFill="1" applyAlignment="1" quotePrefix="1">
      <alignment horizontal="left"/>
    </xf>
    <xf numFmtId="1" fontId="4" fillId="33" borderId="10" xfId="0" applyNumberFormat="1" applyFont="1" applyFill="1" applyBorder="1" applyAlignment="1">
      <alignment/>
    </xf>
    <xf numFmtId="1" fontId="14" fillId="33" borderId="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1" fontId="9" fillId="33" borderId="0" xfId="0" applyNumberFormat="1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1" fontId="13" fillId="33" borderId="0" xfId="0" applyNumberFormat="1" applyFont="1" applyFill="1" applyBorder="1" applyAlignment="1" applyProtection="1">
      <alignment/>
      <protection/>
    </xf>
    <xf numFmtId="0" fontId="7" fillId="33" borderId="0" xfId="0" applyFont="1" applyFill="1" applyAlignment="1">
      <alignment/>
    </xf>
    <xf numFmtId="0" fontId="11" fillId="33" borderId="0" xfId="0" applyFont="1" applyFill="1" applyAlignment="1">
      <alignment/>
    </xf>
    <xf numFmtId="2" fontId="0" fillId="33" borderId="0" xfId="0" applyNumberFormat="1" applyFill="1" applyAlignment="1">
      <alignment/>
    </xf>
    <xf numFmtId="2" fontId="2" fillId="33" borderId="0" xfId="0" applyNumberFormat="1" applyFont="1" applyFill="1" applyAlignment="1">
      <alignment/>
    </xf>
    <xf numFmtId="2" fontId="10" fillId="33" borderId="0" xfId="0" applyNumberFormat="1" applyFont="1" applyFill="1" applyAlignment="1">
      <alignment/>
    </xf>
    <xf numFmtId="0" fontId="0" fillId="33" borderId="0" xfId="0" applyFont="1" applyFill="1" applyBorder="1" applyAlignment="1">
      <alignment/>
    </xf>
    <xf numFmtId="0" fontId="9" fillId="33" borderId="0" xfId="0" applyFont="1" applyFill="1" applyAlignment="1">
      <alignment/>
    </xf>
    <xf numFmtId="179" fontId="20" fillId="33" borderId="0" xfId="0" applyNumberFormat="1" applyFont="1" applyFill="1" applyAlignment="1">
      <alignment/>
    </xf>
    <xf numFmtId="1" fontId="20" fillId="33" borderId="0" xfId="0" applyNumberFormat="1" applyFont="1" applyFill="1" applyAlignment="1">
      <alignment/>
    </xf>
    <xf numFmtId="0" fontId="23" fillId="33" borderId="0" xfId="0" applyFont="1" applyFill="1" applyAlignment="1" quotePrefix="1">
      <alignment horizontal="left"/>
    </xf>
    <xf numFmtId="1" fontId="3" fillId="33" borderId="0" xfId="0" applyNumberFormat="1" applyFont="1" applyFill="1" applyBorder="1" applyAlignment="1">
      <alignment/>
    </xf>
    <xf numFmtId="1" fontId="8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179" fontId="13" fillId="33" borderId="0" xfId="0" applyNumberFormat="1" applyFont="1" applyFill="1" applyBorder="1" applyAlignment="1" applyProtection="1">
      <alignment/>
      <protection/>
    </xf>
    <xf numFmtId="0" fontId="0" fillId="33" borderId="0" xfId="0" applyFill="1" applyAlignment="1">
      <alignment horizontal="left"/>
    </xf>
    <xf numFmtId="2" fontId="21" fillId="33" borderId="0" xfId="0" applyNumberFormat="1" applyFont="1" applyFill="1" applyAlignment="1">
      <alignment/>
    </xf>
    <xf numFmtId="0" fontId="3" fillId="33" borderId="0" xfId="0" applyFont="1" applyFill="1" applyAlignment="1">
      <alignment horizontal="left"/>
    </xf>
    <xf numFmtId="0" fontId="26" fillId="33" borderId="0" xfId="0" applyFont="1" applyFill="1" applyAlignment="1">
      <alignment/>
    </xf>
    <xf numFmtId="0" fontId="18" fillId="33" borderId="0" xfId="0" applyFont="1" applyFill="1" applyBorder="1" applyAlignment="1" quotePrefix="1">
      <alignment horizontal="left"/>
    </xf>
    <xf numFmtId="0" fontId="12" fillId="33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24" fillId="33" borderId="0" xfId="0" applyFont="1" applyFill="1" applyBorder="1" applyAlignment="1">
      <alignment horizontal="center"/>
    </xf>
    <xf numFmtId="0" fontId="26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left"/>
    </xf>
    <xf numFmtId="0" fontId="0" fillId="33" borderId="0" xfId="0" applyFill="1" applyBorder="1" applyAlignment="1" quotePrefix="1">
      <alignment horizontal="left"/>
    </xf>
    <xf numFmtId="2" fontId="22" fillId="33" borderId="0" xfId="0" applyNumberFormat="1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0" fillId="33" borderId="0" xfId="0" applyFill="1" applyAlignment="1">
      <alignment horizontal="center"/>
    </xf>
    <xf numFmtId="0" fontId="3" fillId="33" borderId="0" xfId="0" applyFont="1" applyFill="1" applyBorder="1" applyAlignment="1" quotePrefix="1">
      <alignment horizontal="left"/>
    </xf>
    <xf numFmtId="0" fontId="3" fillId="33" borderId="0" xfId="0" applyFont="1" applyFill="1" applyAlignment="1" quotePrefix="1">
      <alignment horizontal="left"/>
    </xf>
    <xf numFmtId="1" fontId="27" fillId="33" borderId="0" xfId="0" applyNumberFormat="1" applyFont="1" applyFill="1" applyBorder="1" applyAlignment="1">
      <alignment/>
    </xf>
    <xf numFmtId="0" fontId="11" fillId="33" borderId="0" xfId="0" applyFont="1" applyFill="1" applyAlignment="1" quotePrefix="1">
      <alignment horizontal="left"/>
    </xf>
    <xf numFmtId="0" fontId="11" fillId="33" borderId="0" xfId="0" applyFont="1" applyFill="1" applyBorder="1" applyAlignment="1">
      <alignment horizontal="left"/>
    </xf>
    <xf numFmtId="0" fontId="1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9" fontId="3" fillId="33" borderId="10" xfId="0" applyNumberFormat="1" applyFont="1" applyFill="1" applyBorder="1" applyAlignment="1">
      <alignment/>
    </xf>
    <xf numFmtId="9" fontId="27" fillId="33" borderId="10" xfId="0" applyNumberFormat="1" applyFont="1" applyFill="1" applyBorder="1" applyAlignment="1">
      <alignment/>
    </xf>
    <xf numFmtId="9" fontId="16" fillId="33" borderId="10" xfId="0" applyNumberFormat="1" applyFont="1" applyFill="1" applyBorder="1" applyAlignment="1">
      <alignment/>
    </xf>
    <xf numFmtId="9" fontId="11" fillId="33" borderId="10" xfId="0" applyNumberFormat="1" applyFont="1" applyFill="1" applyBorder="1" applyAlignment="1">
      <alignment/>
    </xf>
    <xf numFmtId="1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173" fontId="4" fillId="33" borderId="0" xfId="0" applyNumberFormat="1" applyFont="1" applyFill="1" applyAlignment="1" quotePrefix="1">
      <alignment horizontal="center"/>
    </xf>
    <xf numFmtId="1" fontId="8" fillId="33" borderId="0" xfId="0" applyNumberFormat="1" applyFont="1" applyFill="1" applyBorder="1" applyAlignment="1" quotePrefix="1">
      <alignment horizontal="left"/>
    </xf>
    <xf numFmtId="179" fontId="0" fillId="33" borderId="0" xfId="0" applyNumberFormat="1" applyFill="1" applyAlignment="1">
      <alignment horizontal="center"/>
    </xf>
    <xf numFmtId="0" fontId="0" fillId="33" borderId="0" xfId="0" applyFill="1" applyBorder="1" applyAlignment="1">
      <alignment horizontal="center"/>
    </xf>
    <xf numFmtId="0" fontId="22" fillId="33" borderId="0" xfId="0" applyFont="1" applyFill="1" applyAlignment="1">
      <alignment/>
    </xf>
    <xf numFmtId="0" fontId="28" fillId="33" borderId="0" xfId="0" applyFont="1" applyFill="1" applyAlignment="1">
      <alignment horizontal="left"/>
    </xf>
    <xf numFmtId="0" fontId="28" fillId="33" borderId="0" xfId="0" applyFont="1" applyFill="1" applyAlignment="1" quotePrefix="1">
      <alignment horizontal="left"/>
    </xf>
    <xf numFmtId="1" fontId="28" fillId="33" borderId="0" xfId="0" applyNumberFormat="1" applyFont="1" applyFill="1" applyAlignment="1">
      <alignment horizontal="center"/>
    </xf>
    <xf numFmtId="179" fontId="28" fillId="33" borderId="0" xfId="0" applyNumberFormat="1" applyFont="1" applyFill="1" applyAlignment="1">
      <alignment horizontal="center"/>
    </xf>
    <xf numFmtId="0" fontId="29" fillId="33" borderId="0" xfId="0" applyFont="1" applyFill="1" applyAlignment="1" quotePrefix="1">
      <alignment horizontal="left"/>
    </xf>
    <xf numFmtId="0" fontId="29" fillId="33" borderId="0" xfId="0" applyFont="1" applyFill="1" applyAlignment="1">
      <alignment horizontal="left"/>
    </xf>
    <xf numFmtId="1" fontId="29" fillId="33" borderId="0" xfId="0" applyNumberFormat="1" applyFont="1" applyFill="1" applyAlignment="1">
      <alignment horizontal="center"/>
    </xf>
    <xf numFmtId="2" fontId="29" fillId="33" borderId="0" xfId="0" applyNumberFormat="1" applyFont="1" applyFill="1" applyAlignment="1">
      <alignment horizontal="center"/>
    </xf>
    <xf numFmtId="0" fontId="29" fillId="33" borderId="0" xfId="0" applyFont="1" applyFill="1" applyAlignment="1">
      <alignment horizontal="center"/>
    </xf>
    <xf numFmtId="179" fontId="29" fillId="33" borderId="0" xfId="0" applyNumberFormat="1" applyFont="1" applyFill="1" applyAlignment="1">
      <alignment horizontal="center"/>
    </xf>
    <xf numFmtId="2" fontId="28" fillId="33" borderId="0" xfId="0" applyNumberFormat="1" applyFont="1" applyFill="1" applyAlignment="1">
      <alignment horizontal="center"/>
    </xf>
    <xf numFmtId="0" fontId="28" fillId="33" borderId="0" xfId="0" applyFont="1" applyFill="1" applyAlignment="1">
      <alignment horizontal="center"/>
    </xf>
    <xf numFmtId="1" fontId="14" fillId="33" borderId="0" xfId="0" applyNumberFormat="1" applyFont="1" applyFill="1" applyBorder="1" applyAlignment="1" quotePrefix="1">
      <alignment horizontal="left"/>
    </xf>
    <xf numFmtId="1" fontId="30" fillId="33" borderId="0" xfId="0" applyNumberFormat="1" applyFont="1" applyFill="1" applyBorder="1" applyAlignment="1">
      <alignment/>
    </xf>
    <xf numFmtId="2" fontId="0" fillId="33" borderId="0" xfId="0" applyNumberFormat="1" applyFill="1" applyAlignment="1">
      <alignment horizontal="center"/>
    </xf>
    <xf numFmtId="0" fontId="0" fillId="33" borderId="0" xfId="0" applyFill="1" applyAlignment="1">
      <alignment horizontal="right"/>
    </xf>
    <xf numFmtId="185" fontId="0" fillId="33" borderId="0" xfId="0" applyNumberFormat="1" applyFill="1" applyAlignment="1">
      <alignment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31" fillId="33" borderId="0" xfId="0" applyFont="1" applyFill="1" applyAlignment="1">
      <alignment/>
    </xf>
    <xf numFmtId="0" fontId="32" fillId="33" borderId="0" xfId="0" applyFont="1" applyFill="1" applyAlignment="1">
      <alignment/>
    </xf>
    <xf numFmtId="0" fontId="35" fillId="33" borderId="0" xfId="0" applyFont="1" applyFill="1" applyAlignment="1" quotePrefix="1">
      <alignment horizontal="left"/>
    </xf>
    <xf numFmtId="0" fontId="37" fillId="33" borderId="0" xfId="0" applyFont="1" applyFill="1" applyAlignment="1">
      <alignment/>
    </xf>
    <xf numFmtId="0" fontId="35" fillId="33" borderId="0" xfId="0" applyFont="1" applyFill="1" applyBorder="1" applyAlignment="1" quotePrefix="1">
      <alignment horizontal="left"/>
    </xf>
    <xf numFmtId="0" fontId="40" fillId="33" borderId="0" xfId="0" applyFont="1" applyFill="1" applyBorder="1" applyAlignment="1">
      <alignment/>
    </xf>
    <xf numFmtId="0" fontId="37" fillId="33" borderId="0" xfId="0" applyFont="1" applyFill="1" applyBorder="1" applyAlignment="1">
      <alignment/>
    </xf>
    <xf numFmtId="0" fontId="37" fillId="0" borderId="0" xfId="0" applyFont="1" applyBorder="1" applyAlignment="1">
      <alignment/>
    </xf>
    <xf numFmtId="0" fontId="34" fillId="33" borderId="0" xfId="0" applyFont="1" applyFill="1" applyBorder="1" applyAlignment="1" quotePrefix="1">
      <alignment horizontal="center"/>
    </xf>
    <xf numFmtId="1" fontId="34" fillId="33" borderId="0" xfId="0" applyNumberFormat="1" applyFont="1" applyFill="1" applyBorder="1" applyAlignment="1">
      <alignment/>
    </xf>
    <xf numFmtId="0" fontId="34" fillId="33" borderId="0" xfId="0" applyFont="1" applyFill="1" applyBorder="1" applyAlignment="1">
      <alignment/>
    </xf>
    <xf numFmtId="0" fontId="35" fillId="33" borderId="0" xfId="0" applyFont="1" applyFill="1" applyBorder="1" applyAlignment="1">
      <alignment/>
    </xf>
    <xf numFmtId="0" fontId="35" fillId="33" borderId="0" xfId="57" applyNumberFormat="1" applyFont="1" applyFill="1" applyBorder="1" applyAlignment="1">
      <alignment horizontal="center"/>
    </xf>
    <xf numFmtId="0" fontId="19" fillId="34" borderId="0" xfId="0" applyFont="1" applyFill="1" applyBorder="1" applyAlignment="1">
      <alignment/>
    </xf>
    <xf numFmtId="0" fontId="0" fillId="33" borderId="11" xfId="0" applyFill="1" applyBorder="1" applyAlignment="1">
      <alignment/>
    </xf>
    <xf numFmtId="0" fontId="35" fillId="33" borderId="11" xfId="0" applyFont="1" applyFill="1" applyBorder="1" applyAlignment="1" quotePrefix="1">
      <alignment horizontal="center"/>
    </xf>
    <xf numFmtId="0" fontId="35" fillId="33" borderId="12" xfId="0" applyFont="1" applyFill="1" applyBorder="1" applyAlignment="1" quotePrefix="1">
      <alignment horizontal="left"/>
    </xf>
    <xf numFmtId="0" fontId="0" fillId="33" borderId="12" xfId="0" applyFill="1" applyBorder="1" applyAlignment="1">
      <alignment/>
    </xf>
    <xf numFmtId="0" fontId="35" fillId="33" borderId="11" xfId="0" applyFont="1" applyFill="1" applyBorder="1" applyAlignment="1">
      <alignment horizontal="center"/>
    </xf>
    <xf numFmtId="0" fontId="35" fillId="33" borderId="13" xfId="0" applyFont="1" applyFill="1" applyBorder="1" applyAlignment="1" quotePrefix="1">
      <alignment horizontal="left"/>
    </xf>
    <xf numFmtId="0" fontId="0" fillId="33" borderId="13" xfId="0" applyFill="1" applyBorder="1" applyAlignment="1">
      <alignment/>
    </xf>
    <xf numFmtId="1" fontId="32" fillId="35" borderId="13" xfId="0" applyNumberFormat="1" applyFont="1" applyFill="1" applyBorder="1" applyAlignment="1">
      <alignment horizontal="center"/>
    </xf>
    <xf numFmtId="0" fontId="35" fillId="33" borderId="13" xfId="0" applyFont="1" applyFill="1" applyBorder="1" applyAlignment="1">
      <alignment horizontal="left"/>
    </xf>
    <xf numFmtId="0" fontId="4" fillId="33" borderId="11" xfId="0" applyFont="1" applyFill="1" applyBorder="1" applyAlignment="1">
      <alignment horizontal="left"/>
    </xf>
    <xf numFmtId="0" fontId="40" fillId="33" borderId="12" xfId="0" applyFont="1" applyFill="1" applyBorder="1" applyAlignment="1">
      <alignment/>
    </xf>
    <xf numFmtId="0" fontId="40" fillId="33" borderId="13" xfId="0" applyFont="1" applyFill="1" applyBorder="1" applyAlignment="1">
      <alignment/>
    </xf>
    <xf numFmtId="0" fontId="9" fillId="33" borderId="0" xfId="0" applyFont="1" applyFill="1" applyBorder="1" applyAlignment="1">
      <alignment horizontal="left"/>
    </xf>
    <xf numFmtId="0" fontId="19" fillId="34" borderId="0" xfId="0" applyFont="1" applyFill="1" applyAlignment="1">
      <alignment/>
    </xf>
    <xf numFmtId="0" fontId="19" fillId="33" borderId="0" xfId="0" applyFont="1" applyFill="1" applyAlignment="1">
      <alignment/>
    </xf>
    <xf numFmtId="0" fontId="5" fillId="33" borderId="0" xfId="0" applyFont="1" applyFill="1" applyAlignment="1">
      <alignment horizontal="left"/>
    </xf>
    <xf numFmtId="0" fontId="19" fillId="33" borderId="0" xfId="0" applyFont="1" applyFill="1" applyBorder="1" applyAlignment="1">
      <alignment/>
    </xf>
    <xf numFmtId="0" fontId="5" fillId="33" borderId="0" xfId="0" applyFont="1" applyFill="1" applyBorder="1" applyAlignment="1" quotePrefix="1">
      <alignment horizontal="left"/>
    </xf>
    <xf numFmtId="0" fontId="5" fillId="33" borderId="0" xfId="0" applyFont="1" applyFill="1" applyAlignment="1" quotePrefix="1">
      <alignment horizontal="left"/>
    </xf>
    <xf numFmtId="0" fontId="26" fillId="33" borderId="11" xfId="0" applyFont="1" applyFill="1" applyBorder="1" applyAlignment="1">
      <alignment/>
    </xf>
    <xf numFmtId="0" fontId="24" fillId="33" borderId="0" xfId="0" applyFont="1" applyFill="1" applyAlignment="1">
      <alignment/>
    </xf>
    <xf numFmtId="0" fontId="35" fillId="33" borderId="0" xfId="0" applyFont="1" applyFill="1" applyAlignment="1">
      <alignment/>
    </xf>
    <xf numFmtId="0" fontId="32" fillId="33" borderId="0" xfId="0" applyFont="1" applyFill="1" applyAlignment="1" quotePrefix="1">
      <alignment horizontal="left"/>
    </xf>
    <xf numFmtId="176" fontId="4" fillId="33" borderId="0" xfId="0" applyNumberFormat="1" applyFont="1" applyFill="1" applyBorder="1" applyAlignment="1" quotePrefix="1">
      <alignment horizontal="center"/>
    </xf>
    <xf numFmtId="172" fontId="4" fillId="33" borderId="0" xfId="0" applyNumberFormat="1" applyFont="1" applyFill="1" applyBorder="1" applyAlignment="1" quotePrefix="1">
      <alignment horizontal="center"/>
    </xf>
    <xf numFmtId="0" fontId="33" fillId="33" borderId="0" xfId="0" applyFont="1" applyFill="1" applyBorder="1" applyAlignment="1" quotePrefix="1">
      <alignment horizontal="left"/>
    </xf>
    <xf numFmtId="0" fontId="45" fillId="33" borderId="0" xfId="0" applyFont="1" applyFill="1" applyAlignment="1">
      <alignment/>
    </xf>
    <xf numFmtId="1" fontId="46" fillId="33" borderId="0" xfId="0" applyNumberFormat="1" applyFont="1" applyFill="1" applyBorder="1" applyAlignment="1">
      <alignment/>
    </xf>
    <xf numFmtId="0" fontId="32" fillId="33" borderId="0" xfId="0" applyFont="1" applyFill="1" applyBorder="1" applyAlignment="1" quotePrefix="1">
      <alignment horizontal="left"/>
    </xf>
    <xf numFmtId="0" fontId="34" fillId="33" borderId="11" xfId="0" applyFont="1" applyFill="1" applyBorder="1" applyAlignment="1" quotePrefix="1">
      <alignment horizontal="center"/>
    </xf>
    <xf numFmtId="0" fontId="34" fillId="33" borderId="11" xfId="0" applyFont="1" applyFill="1" applyBorder="1" applyAlignment="1">
      <alignment horizontal="center"/>
    </xf>
    <xf numFmtId="0" fontId="35" fillId="33" borderId="13" xfId="0" applyFont="1" applyFill="1" applyBorder="1" applyAlignment="1">
      <alignment/>
    </xf>
    <xf numFmtId="179" fontId="48" fillId="33" borderId="0" xfId="0" applyNumberFormat="1" applyFont="1" applyFill="1" applyBorder="1" applyAlignment="1">
      <alignment horizontal="center"/>
    </xf>
    <xf numFmtId="179" fontId="42" fillId="33" borderId="0" xfId="0" applyNumberFormat="1" applyFont="1" applyFill="1" applyBorder="1" applyAlignment="1">
      <alignment horizontal="center"/>
    </xf>
    <xf numFmtId="179" fontId="43" fillId="33" borderId="0" xfId="0" applyNumberFormat="1" applyFont="1" applyFill="1" applyBorder="1" applyAlignment="1">
      <alignment horizontal="center"/>
    </xf>
    <xf numFmtId="179" fontId="44" fillId="33" borderId="0" xfId="0" applyNumberFormat="1" applyFont="1" applyFill="1" applyBorder="1" applyAlignment="1">
      <alignment horizontal="center"/>
    </xf>
    <xf numFmtId="0" fontId="36" fillId="33" borderId="0" xfId="0" applyFont="1" applyFill="1" applyAlignment="1" quotePrefix="1">
      <alignment horizontal="center"/>
    </xf>
    <xf numFmtId="0" fontId="38" fillId="33" borderId="0" xfId="0" applyFont="1" applyFill="1" applyAlignment="1" quotePrefix="1">
      <alignment horizontal="center"/>
    </xf>
    <xf numFmtId="0" fontId="49" fillId="33" borderId="0" xfId="0" applyFont="1" applyFill="1" applyAlignment="1">
      <alignment horizontal="center"/>
    </xf>
    <xf numFmtId="0" fontId="49" fillId="33" borderId="0" xfId="0" applyFont="1" applyFill="1" applyAlignment="1" quotePrefix="1">
      <alignment horizontal="center"/>
    </xf>
    <xf numFmtId="179" fontId="50" fillId="33" borderId="0" xfId="0" applyNumberFormat="1" applyFont="1" applyFill="1" applyBorder="1" applyAlignment="1">
      <alignment horizontal="center"/>
    </xf>
    <xf numFmtId="0" fontId="37" fillId="33" borderId="0" xfId="0" applyFont="1" applyFill="1" applyBorder="1" applyAlignment="1" quotePrefix="1">
      <alignment horizontal="left"/>
    </xf>
    <xf numFmtId="0" fontId="51" fillId="33" borderId="0" xfId="0" applyFont="1" applyFill="1" applyAlignment="1">
      <alignment/>
    </xf>
    <xf numFmtId="0" fontId="51" fillId="33" borderId="0" xfId="0" applyFont="1" applyFill="1" applyAlignment="1" quotePrefix="1">
      <alignment horizontal="left"/>
    </xf>
    <xf numFmtId="0" fontId="51" fillId="33" borderId="0" xfId="0" applyFont="1" applyFill="1" applyBorder="1" applyAlignment="1" quotePrefix="1">
      <alignment horizontal="left"/>
    </xf>
    <xf numFmtId="0" fontId="51" fillId="33" borderId="0" xfId="0" applyFont="1" applyFill="1" applyBorder="1" applyAlignment="1">
      <alignment/>
    </xf>
    <xf numFmtId="2" fontId="0" fillId="33" borderId="0" xfId="0" applyNumberFormat="1" applyFill="1" applyBorder="1" applyAlignment="1">
      <alignment/>
    </xf>
    <xf numFmtId="178" fontId="2" fillId="33" borderId="0" xfId="0" applyNumberFormat="1" applyFont="1" applyFill="1" applyBorder="1" applyAlignment="1">
      <alignment/>
    </xf>
    <xf numFmtId="2" fontId="10" fillId="33" borderId="0" xfId="0" applyNumberFormat="1" applyFont="1" applyFill="1" applyBorder="1" applyAlignment="1">
      <alignment/>
    </xf>
    <xf numFmtId="0" fontId="35" fillId="33" borderId="12" xfId="0" applyFont="1" applyFill="1" applyBorder="1" applyAlignment="1">
      <alignment horizontal="left"/>
    </xf>
    <xf numFmtId="0" fontId="35" fillId="33" borderId="12" xfId="0" applyFont="1" applyFill="1" applyBorder="1" applyAlignment="1">
      <alignment/>
    </xf>
    <xf numFmtId="0" fontId="35" fillId="33" borderId="14" xfId="0" applyFont="1" applyFill="1" applyBorder="1" applyAlignment="1">
      <alignment/>
    </xf>
    <xf numFmtId="0" fontId="32" fillId="33" borderId="0" xfId="0" applyFont="1" applyFill="1" applyAlignment="1">
      <alignment horizontal="left"/>
    </xf>
    <xf numFmtId="179" fontId="53" fillId="33" borderId="0" xfId="0" applyNumberFormat="1" applyFont="1" applyFill="1" applyBorder="1" applyAlignment="1">
      <alignment/>
    </xf>
    <xf numFmtId="0" fontId="53" fillId="33" borderId="0" xfId="0" applyFont="1" applyFill="1" applyBorder="1" applyAlignment="1">
      <alignment/>
    </xf>
    <xf numFmtId="0" fontId="55" fillId="33" borderId="0" xfId="0" applyFont="1" applyFill="1" applyAlignment="1" quotePrefix="1">
      <alignment horizontal="left"/>
    </xf>
    <xf numFmtId="0" fontId="32" fillId="33" borderId="0" xfId="0" applyFont="1" applyFill="1" applyBorder="1" applyAlignment="1">
      <alignment/>
    </xf>
    <xf numFmtId="0" fontId="32" fillId="33" borderId="14" xfId="0" applyFont="1" applyFill="1" applyBorder="1" applyAlignment="1" quotePrefix="1">
      <alignment horizontal="left"/>
    </xf>
    <xf numFmtId="0" fontId="37" fillId="33" borderId="14" xfId="0" applyFont="1" applyFill="1" applyBorder="1" applyAlignment="1">
      <alignment/>
    </xf>
    <xf numFmtId="0" fontId="32" fillId="33" borderId="13" xfId="0" applyFont="1" applyFill="1" applyBorder="1" applyAlignment="1" quotePrefix="1">
      <alignment horizontal="left"/>
    </xf>
    <xf numFmtId="0" fontId="37" fillId="33" borderId="13" xfId="0" applyFont="1" applyFill="1" applyBorder="1" applyAlignment="1">
      <alignment/>
    </xf>
    <xf numFmtId="0" fontId="37" fillId="33" borderId="11" xfId="0" applyFont="1" applyFill="1" applyBorder="1" applyAlignment="1">
      <alignment/>
    </xf>
    <xf numFmtId="0" fontId="8" fillId="34" borderId="0" xfId="0" applyFont="1" applyFill="1" applyAlignment="1" quotePrefix="1">
      <alignment horizontal="left"/>
    </xf>
    <xf numFmtId="0" fontId="0" fillId="34" borderId="0" xfId="0" applyFont="1" applyFill="1" applyAlignment="1">
      <alignment/>
    </xf>
    <xf numFmtId="1" fontId="8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/>
    </xf>
    <xf numFmtId="0" fontId="56" fillId="33" borderId="0" xfId="0" applyFont="1" applyFill="1" applyBorder="1" applyAlignment="1">
      <alignment horizontal="left"/>
    </xf>
    <xf numFmtId="0" fontId="51" fillId="33" borderId="0" xfId="0" applyFont="1" applyFill="1" applyBorder="1" applyAlignment="1">
      <alignment horizontal="left"/>
    </xf>
    <xf numFmtId="2" fontId="19" fillId="33" borderId="0" xfId="0" applyNumberFormat="1" applyFont="1" applyFill="1" applyAlignment="1">
      <alignment/>
    </xf>
    <xf numFmtId="2" fontId="19" fillId="33" borderId="0" xfId="0" applyNumberFormat="1" applyFont="1" applyFill="1" applyAlignment="1">
      <alignment horizontal="center"/>
    </xf>
    <xf numFmtId="179" fontId="19" fillId="33" borderId="0" xfId="0" applyNumberFormat="1" applyFont="1" applyFill="1" applyAlignment="1">
      <alignment/>
    </xf>
    <xf numFmtId="0" fontId="3" fillId="34" borderId="0" xfId="0" applyFont="1" applyFill="1" applyBorder="1" applyAlignment="1">
      <alignment/>
    </xf>
    <xf numFmtId="0" fontId="32" fillId="33" borderId="12" xfId="0" applyFont="1" applyFill="1" applyBorder="1" applyAlignment="1" quotePrefix="1">
      <alignment horizontal="left"/>
    </xf>
    <xf numFmtId="0" fontId="32" fillId="33" borderId="13" xfId="0" applyFont="1" applyFill="1" applyBorder="1" applyAlignment="1">
      <alignment horizontal="left"/>
    </xf>
    <xf numFmtId="179" fontId="9" fillId="34" borderId="0" xfId="0" applyNumberFormat="1" applyFont="1" applyFill="1" applyBorder="1" applyAlignment="1">
      <alignment/>
    </xf>
    <xf numFmtId="179" fontId="15" fillId="34" borderId="0" xfId="0" applyNumberFormat="1" applyFont="1" applyFill="1" applyBorder="1" applyAlignment="1">
      <alignment/>
    </xf>
    <xf numFmtId="0" fontId="8" fillId="34" borderId="0" xfId="0" applyFont="1" applyFill="1" applyBorder="1" applyAlignment="1" quotePrefix="1">
      <alignment horizontal="left"/>
    </xf>
    <xf numFmtId="179" fontId="3" fillId="33" borderId="0" xfId="0" applyNumberFormat="1" applyFont="1" applyFill="1" applyBorder="1" applyAlignment="1">
      <alignment/>
    </xf>
    <xf numFmtId="179" fontId="54" fillId="33" borderId="0" xfId="0" applyNumberFormat="1" applyFont="1" applyFill="1" applyAlignment="1">
      <alignment/>
    </xf>
    <xf numFmtId="1" fontId="54" fillId="33" borderId="0" xfId="0" applyNumberFormat="1" applyFont="1" applyFill="1" applyAlignment="1">
      <alignment/>
    </xf>
    <xf numFmtId="0" fontId="57" fillId="33" borderId="0" xfId="0" applyFont="1" applyFill="1" applyAlignment="1">
      <alignment horizontal="left"/>
    </xf>
    <xf numFmtId="0" fontId="57" fillId="33" borderId="0" xfId="0" applyFont="1" applyFill="1" applyAlignment="1" quotePrefix="1">
      <alignment horizontal="left"/>
    </xf>
    <xf numFmtId="0" fontId="4" fillId="33" borderId="12" xfId="0" applyFont="1" applyFill="1" applyBorder="1" applyAlignment="1">
      <alignment/>
    </xf>
    <xf numFmtId="1" fontId="9" fillId="33" borderId="0" xfId="0" applyNumberFormat="1" applyFont="1" applyFill="1" applyBorder="1" applyAlignment="1" quotePrefix="1">
      <alignment horizontal="left"/>
    </xf>
    <xf numFmtId="0" fontId="3" fillId="33" borderId="11" xfId="0" applyFont="1" applyFill="1" applyBorder="1" applyAlignment="1">
      <alignment horizontal="left"/>
    </xf>
    <xf numFmtId="0" fontId="0" fillId="33" borderId="11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2" fontId="2" fillId="33" borderId="0" xfId="0" applyNumberFormat="1" applyFont="1" applyFill="1" applyBorder="1" applyAlignment="1">
      <alignment/>
    </xf>
    <xf numFmtId="0" fontId="9" fillId="36" borderId="0" xfId="0" applyFont="1" applyFill="1" applyAlignment="1" quotePrefix="1">
      <alignment horizontal="left"/>
    </xf>
    <xf numFmtId="0" fontId="19" fillId="36" borderId="0" xfId="0" applyFont="1" applyFill="1" applyAlignment="1">
      <alignment/>
    </xf>
    <xf numFmtId="1" fontId="9" fillId="36" borderId="0" xfId="0" applyNumberFormat="1" applyFont="1" applyFill="1" applyBorder="1" applyAlignment="1">
      <alignment/>
    </xf>
    <xf numFmtId="0" fontId="8" fillId="36" borderId="0" xfId="0" applyFont="1" applyFill="1" applyAlignment="1" quotePrefix="1">
      <alignment horizontal="left"/>
    </xf>
    <xf numFmtId="0" fontId="0" fillId="36" borderId="0" xfId="0" applyFont="1" applyFill="1" applyAlignment="1">
      <alignment/>
    </xf>
    <xf numFmtId="1" fontId="8" fillId="36" borderId="0" xfId="0" applyNumberFormat="1" applyFont="1" applyFill="1" applyBorder="1" applyAlignment="1">
      <alignment/>
    </xf>
    <xf numFmtId="1" fontId="3" fillId="36" borderId="0" xfId="0" applyNumberFormat="1" applyFont="1" applyFill="1" applyBorder="1" applyAlignment="1">
      <alignment/>
    </xf>
    <xf numFmtId="0" fontId="0" fillId="36" borderId="0" xfId="0" applyFill="1" applyAlignment="1">
      <alignment/>
    </xf>
    <xf numFmtId="0" fontId="19" fillId="36" borderId="0" xfId="0" applyFont="1" applyFill="1" applyBorder="1" applyAlignment="1">
      <alignment/>
    </xf>
    <xf numFmtId="0" fontId="8" fillId="36" borderId="0" xfId="0" applyFont="1" applyFill="1" applyBorder="1" applyAlignment="1">
      <alignment horizontal="left"/>
    </xf>
    <xf numFmtId="0" fontId="0" fillId="36" borderId="0" xfId="0" applyFill="1" applyBorder="1" applyAlignment="1">
      <alignment/>
    </xf>
    <xf numFmtId="1" fontId="9" fillId="36" borderId="0" xfId="0" applyNumberFormat="1" applyFont="1" applyFill="1" applyBorder="1" applyAlignment="1">
      <alignment/>
    </xf>
    <xf numFmtId="179" fontId="9" fillId="36" borderId="0" xfId="0" applyNumberFormat="1" applyFont="1" applyFill="1" applyBorder="1" applyAlignment="1">
      <alignment/>
    </xf>
    <xf numFmtId="1" fontId="15" fillId="36" borderId="0" xfId="0" applyNumberFormat="1" applyFont="1" applyFill="1" applyBorder="1" applyAlignment="1">
      <alignment/>
    </xf>
    <xf numFmtId="179" fontId="15" fillId="36" borderId="0" xfId="0" applyNumberFormat="1" applyFont="1" applyFill="1" applyBorder="1" applyAlignment="1">
      <alignment/>
    </xf>
    <xf numFmtId="0" fontId="0" fillId="37" borderId="0" xfId="0" applyFill="1" applyAlignment="1">
      <alignment/>
    </xf>
    <xf numFmtId="0" fontId="0" fillId="38" borderId="0" xfId="0" applyFill="1" applyAlignment="1">
      <alignment/>
    </xf>
    <xf numFmtId="0" fontId="0" fillId="35" borderId="0" xfId="0" applyFill="1" applyAlignment="1">
      <alignment/>
    </xf>
    <xf numFmtId="0" fontId="59" fillId="33" borderId="0" xfId="0" applyFont="1" applyFill="1" applyBorder="1" applyAlignment="1">
      <alignment horizontal="center"/>
    </xf>
    <xf numFmtId="0" fontId="9" fillId="39" borderId="0" xfId="0" applyFont="1" applyFill="1" applyBorder="1" applyAlignment="1">
      <alignment horizontal="left"/>
    </xf>
    <xf numFmtId="0" fontId="19" fillId="39" borderId="0" xfId="0" applyFont="1" applyFill="1" applyBorder="1" applyAlignment="1">
      <alignment/>
    </xf>
    <xf numFmtId="1" fontId="9" fillId="39" borderId="0" xfId="0" applyNumberFormat="1" applyFont="1" applyFill="1" applyBorder="1" applyAlignment="1">
      <alignment/>
    </xf>
    <xf numFmtId="1" fontId="9" fillId="39" borderId="0" xfId="0" applyNumberFormat="1" applyFont="1" applyFill="1" applyBorder="1" applyAlignment="1" quotePrefix="1">
      <alignment horizontal="left"/>
    </xf>
    <xf numFmtId="0" fontId="8" fillId="39" borderId="0" xfId="0" applyFont="1" applyFill="1" applyAlignment="1" quotePrefix="1">
      <alignment horizontal="left"/>
    </xf>
    <xf numFmtId="0" fontId="0" fillId="39" borderId="0" xfId="0" applyFont="1" applyFill="1" applyAlignment="1">
      <alignment/>
    </xf>
    <xf numFmtId="1" fontId="8" fillId="39" borderId="0" xfId="0" applyNumberFormat="1" applyFont="1" applyFill="1" applyBorder="1" applyAlignment="1">
      <alignment/>
    </xf>
    <xf numFmtId="1" fontId="3" fillId="39" borderId="0" xfId="0" applyNumberFormat="1" applyFont="1" applyFill="1" applyBorder="1" applyAlignment="1">
      <alignment/>
    </xf>
    <xf numFmtId="0" fontId="0" fillId="39" borderId="0" xfId="0" applyFill="1" applyAlignment="1">
      <alignment/>
    </xf>
    <xf numFmtId="0" fontId="5" fillId="39" borderId="0" xfId="0" applyFont="1" applyFill="1" applyBorder="1" applyAlignment="1">
      <alignment/>
    </xf>
    <xf numFmtId="0" fontId="0" fillId="39" borderId="0" xfId="0" applyFill="1" applyBorder="1" applyAlignment="1">
      <alignment/>
    </xf>
    <xf numFmtId="0" fontId="4" fillId="39" borderId="0" xfId="0" applyFont="1" applyFill="1" applyBorder="1" applyAlignment="1">
      <alignment/>
    </xf>
    <xf numFmtId="1" fontId="13" fillId="39" borderId="0" xfId="0" applyNumberFormat="1" applyFont="1" applyFill="1" applyBorder="1" applyAlignment="1" applyProtection="1">
      <alignment/>
      <protection/>
    </xf>
    <xf numFmtId="0" fontId="1" fillId="39" borderId="0" xfId="0" applyFont="1" applyFill="1" applyBorder="1" applyAlignment="1">
      <alignment/>
    </xf>
    <xf numFmtId="0" fontId="19" fillId="39" borderId="0" xfId="0" applyFont="1" applyFill="1" applyBorder="1" applyAlignment="1">
      <alignment/>
    </xf>
    <xf numFmtId="0" fontId="60" fillId="33" borderId="0" xfId="0" applyFont="1" applyFill="1" applyAlignment="1">
      <alignment/>
    </xf>
    <xf numFmtId="0" fontId="37" fillId="33" borderId="0" xfId="0" applyFont="1" applyFill="1" applyAlignment="1">
      <alignment/>
    </xf>
    <xf numFmtId="0" fontId="35" fillId="33" borderId="14" xfId="0" applyFont="1" applyFill="1" applyBorder="1" applyAlignment="1">
      <alignment horizontal="left"/>
    </xf>
    <xf numFmtId="0" fontId="0" fillId="40" borderId="0" xfId="0" applyFill="1" applyAlignment="1">
      <alignment/>
    </xf>
    <xf numFmtId="0" fontId="0" fillId="40" borderId="0" xfId="0" applyFill="1" applyBorder="1" applyAlignment="1">
      <alignment/>
    </xf>
    <xf numFmtId="0" fontId="0" fillId="40" borderId="0" xfId="0" applyFill="1" applyAlignment="1" quotePrefix="1">
      <alignment horizontal="left"/>
    </xf>
    <xf numFmtId="179" fontId="0" fillId="40" borderId="0" xfId="0" applyNumberFormat="1" applyFill="1" applyAlignment="1">
      <alignment horizontal="center"/>
    </xf>
    <xf numFmtId="179" fontId="0" fillId="40" borderId="0" xfId="0" applyNumberFormat="1" applyFill="1" applyBorder="1" applyAlignment="1">
      <alignment horizontal="center"/>
    </xf>
    <xf numFmtId="0" fontId="0" fillId="40" borderId="0" xfId="0" applyFill="1" applyAlignment="1">
      <alignment horizontal="center"/>
    </xf>
    <xf numFmtId="1" fontId="0" fillId="40" borderId="0" xfId="0" applyNumberFormat="1" applyFill="1" applyAlignment="1">
      <alignment horizontal="center"/>
    </xf>
    <xf numFmtId="0" fontId="0" fillId="40" borderId="0" xfId="0" applyFill="1" applyBorder="1" applyAlignment="1">
      <alignment horizontal="center"/>
    </xf>
    <xf numFmtId="179" fontId="43" fillId="33" borderId="0" xfId="0" applyNumberFormat="1" applyFont="1" applyFill="1" applyAlignment="1">
      <alignment horizontal="center"/>
    </xf>
    <xf numFmtId="0" fontId="61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left"/>
    </xf>
    <xf numFmtId="1" fontId="4" fillId="33" borderId="10" xfId="0" applyNumberFormat="1" applyFont="1" applyFill="1" applyBorder="1" applyAlignment="1" applyProtection="1">
      <alignment horizontal="right"/>
      <protection locked="0"/>
    </xf>
    <xf numFmtId="0" fontId="51" fillId="36" borderId="0" xfId="0" applyFont="1" applyFill="1" applyBorder="1" applyAlignment="1">
      <alignment horizontal="left"/>
    </xf>
    <xf numFmtId="179" fontId="42" fillId="36" borderId="0" xfId="0" applyNumberFormat="1" applyFont="1" applyFill="1" applyBorder="1" applyAlignment="1">
      <alignment horizontal="center"/>
    </xf>
    <xf numFmtId="179" fontId="43" fillId="36" borderId="0" xfId="0" applyNumberFormat="1" applyFont="1" applyFill="1" applyBorder="1" applyAlignment="1">
      <alignment horizontal="center"/>
    </xf>
    <xf numFmtId="179" fontId="44" fillId="36" borderId="0" xfId="0" applyNumberFormat="1" applyFont="1" applyFill="1" applyBorder="1" applyAlignment="1">
      <alignment horizontal="center"/>
    </xf>
    <xf numFmtId="0" fontId="21" fillId="33" borderId="0" xfId="0" applyFont="1" applyFill="1" applyAlignment="1">
      <alignment/>
    </xf>
    <xf numFmtId="0" fontId="21" fillId="33" borderId="0" xfId="0" applyFont="1" applyFill="1" applyAlignment="1">
      <alignment horizontal="center"/>
    </xf>
    <xf numFmtId="179" fontId="62" fillId="33" borderId="0" xfId="0" applyNumberFormat="1" applyFont="1" applyFill="1" applyAlignment="1">
      <alignment horizontal="center"/>
    </xf>
    <xf numFmtId="179" fontId="50" fillId="33" borderId="0" xfId="0" applyNumberFormat="1" applyFont="1" applyFill="1" applyAlignment="1">
      <alignment horizontal="center"/>
    </xf>
    <xf numFmtId="1" fontId="0" fillId="33" borderId="0" xfId="0" applyNumberFormat="1" applyFill="1" applyAlignment="1">
      <alignment horizontal="center"/>
    </xf>
    <xf numFmtId="0" fontId="32" fillId="33" borderId="14" xfId="0" applyFont="1" applyFill="1" applyBorder="1" applyAlignment="1">
      <alignment/>
    </xf>
    <xf numFmtId="0" fontId="32" fillId="33" borderId="13" xfId="0" applyFont="1" applyFill="1" applyBorder="1" applyAlignment="1">
      <alignment/>
    </xf>
    <xf numFmtId="1" fontId="32" fillId="33" borderId="0" xfId="0" applyNumberFormat="1" applyFont="1" applyFill="1" applyBorder="1" applyAlignment="1" applyProtection="1">
      <alignment horizontal="center"/>
      <protection locked="0"/>
    </xf>
    <xf numFmtId="1" fontId="32" fillId="33" borderId="0" xfId="0" applyNumberFormat="1" applyFont="1" applyFill="1" applyBorder="1" applyAlignment="1">
      <alignment horizontal="center"/>
    </xf>
    <xf numFmtId="179" fontId="51" fillId="33" borderId="0" xfId="0" applyNumberFormat="1" applyFont="1" applyFill="1" applyAlignment="1">
      <alignment horizontal="center"/>
    </xf>
    <xf numFmtId="0" fontId="4" fillId="33" borderId="13" xfId="0" applyFont="1" applyFill="1" applyBorder="1" applyAlignment="1">
      <alignment/>
    </xf>
    <xf numFmtId="0" fontId="36" fillId="33" borderId="0" xfId="0" applyFont="1" applyFill="1" applyBorder="1" applyAlignment="1" quotePrefix="1">
      <alignment horizontal="center"/>
    </xf>
    <xf numFmtId="0" fontId="38" fillId="33" borderId="0" xfId="0" applyFont="1" applyFill="1" applyBorder="1" applyAlignment="1" quotePrefix="1">
      <alignment horizontal="center"/>
    </xf>
    <xf numFmtId="0" fontId="49" fillId="33" borderId="0" xfId="0" applyFont="1" applyFill="1" applyBorder="1" applyAlignment="1">
      <alignment horizontal="center"/>
    </xf>
    <xf numFmtId="0" fontId="49" fillId="33" borderId="0" xfId="0" applyFont="1" applyFill="1" applyBorder="1" applyAlignment="1" quotePrefix="1">
      <alignment horizontal="center"/>
    </xf>
    <xf numFmtId="0" fontId="29" fillId="33" borderId="0" xfId="0" applyFont="1" applyFill="1" applyAlignment="1" quotePrefix="1">
      <alignment horizontal="center"/>
    </xf>
    <xf numFmtId="0" fontId="28" fillId="33" borderId="0" xfId="0" applyFont="1" applyFill="1" applyAlignment="1" quotePrefix="1">
      <alignment horizontal="center"/>
    </xf>
    <xf numFmtId="0" fontId="51" fillId="39" borderId="0" xfId="0" applyFont="1" applyFill="1" applyBorder="1" applyAlignment="1">
      <alignment horizontal="left"/>
    </xf>
    <xf numFmtId="179" fontId="42" fillId="39" borderId="0" xfId="0" applyNumberFormat="1" applyFont="1" applyFill="1" applyBorder="1" applyAlignment="1">
      <alignment horizontal="center"/>
    </xf>
    <xf numFmtId="179" fontId="43" fillId="39" borderId="0" xfId="0" applyNumberFormat="1" applyFont="1" applyFill="1" applyBorder="1" applyAlignment="1">
      <alignment horizontal="center"/>
    </xf>
    <xf numFmtId="179" fontId="44" fillId="39" borderId="0" xfId="0" applyNumberFormat="1" applyFont="1" applyFill="1" applyBorder="1" applyAlignment="1">
      <alignment horizontal="center"/>
    </xf>
    <xf numFmtId="9" fontId="63" fillId="36" borderId="12" xfId="0" applyNumberFormat="1" applyFont="1" applyFill="1" applyBorder="1" applyAlignment="1" applyProtection="1">
      <alignment horizontal="center"/>
      <protection/>
    </xf>
    <xf numFmtId="9" fontId="63" fillId="36" borderId="13" xfId="0" applyNumberFormat="1" applyFont="1" applyFill="1" applyBorder="1" applyAlignment="1" applyProtection="1">
      <alignment horizontal="center"/>
      <protection/>
    </xf>
    <xf numFmtId="1" fontId="63" fillId="36" borderId="13" xfId="0" applyNumberFormat="1" applyFont="1" applyFill="1" applyBorder="1" applyAlignment="1" applyProtection="1">
      <alignment horizontal="center"/>
      <protection/>
    </xf>
    <xf numFmtId="9" fontId="64" fillId="39" borderId="12" xfId="0" applyNumberFormat="1" applyFont="1" applyFill="1" applyBorder="1" applyAlignment="1">
      <alignment horizontal="center"/>
    </xf>
    <xf numFmtId="9" fontId="64" fillId="39" borderId="13" xfId="0" applyNumberFormat="1" applyFont="1" applyFill="1" applyBorder="1" applyAlignment="1">
      <alignment horizontal="center"/>
    </xf>
    <xf numFmtId="0" fontId="64" fillId="39" borderId="13" xfId="0" applyFont="1" applyFill="1" applyBorder="1" applyAlignment="1">
      <alignment horizontal="center"/>
    </xf>
    <xf numFmtId="1" fontId="64" fillId="39" borderId="14" xfId="0" applyNumberFormat="1" applyFont="1" applyFill="1" applyBorder="1" applyAlignment="1">
      <alignment horizontal="center"/>
    </xf>
    <xf numFmtId="9" fontId="65" fillId="38" borderId="12" xfId="57" applyFont="1" applyFill="1" applyBorder="1" applyAlignment="1" applyProtection="1">
      <alignment horizontal="center"/>
      <protection locked="0"/>
    </xf>
    <xf numFmtId="9" fontId="65" fillId="38" borderId="13" xfId="57" applyFont="1" applyFill="1" applyBorder="1" applyAlignment="1" applyProtection="1">
      <alignment horizontal="center"/>
      <protection locked="0"/>
    </xf>
    <xf numFmtId="0" fontId="65" fillId="38" borderId="13" xfId="57" applyNumberFormat="1" applyFont="1" applyFill="1" applyBorder="1" applyAlignment="1" applyProtection="1">
      <alignment horizontal="center"/>
      <protection locked="0"/>
    </xf>
    <xf numFmtId="183" fontId="65" fillId="38" borderId="13" xfId="57" applyNumberFormat="1" applyFont="1" applyFill="1" applyBorder="1" applyAlignment="1" applyProtection="1">
      <alignment horizontal="center"/>
      <protection locked="0"/>
    </xf>
    <xf numFmtId="1" fontId="32" fillId="38" borderId="15" xfId="0" applyNumberFormat="1" applyFont="1" applyFill="1" applyBorder="1" applyAlignment="1" applyProtection="1">
      <alignment horizontal="center"/>
      <protection locked="0"/>
    </xf>
    <xf numFmtId="179" fontId="32" fillId="38" borderId="13" xfId="0" applyNumberFormat="1" applyFont="1" applyFill="1" applyBorder="1" applyAlignment="1" applyProtection="1">
      <alignment horizontal="center"/>
      <protection locked="0"/>
    </xf>
    <xf numFmtId="1" fontId="32" fillId="38" borderId="13" xfId="0" applyNumberFormat="1" applyFont="1" applyFill="1" applyBorder="1" applyAlignment="1" applyProtection="1">
      <alignment horizontal="center"/>
      <protection locked="0"/>
    </xf>
    <xf numFmtId="1" fontId="32" fillId="38" borderId="16" xfId="0" applyNumberFormat="1" applyFont="1" applyFill="1" applyBorder="1" applyAlignment="1" applyProtection="1">
      <alignment horizontal="center"/>
      <protection locked="0"/>
    </xf>
    <xf numFmtId="0" fontId="32" fillId="38" borderId="16" xfId="0" applyFont="1" applyFill="1" applyBorder="1" applyAlignment="1" applyProtection="1">
      <alignment horizontal="center"/>
      <protection locked="0"/>
    </xf>
    <xf numFmtId="1" fontId="32" fillId="38" borderId="13" xfId="0" applyNumberFormat="1" applyFont="1" applyFill="1" applyBorder="1" applyAlignment="1">
      <alignment horizontal="center"/>
    </xf>
    <xf numFmtId="0" fontId="67" fillId="38" borderId="0" xfId="0" applyFont="1" applyFill="1" applyAlignment="1">
      <alignment/>
    </xf>
    <xf numFmtId="0" fontId="68" fillId="38" borderId="0" xfId="0" applyFont="1" applyFill="1" applyBorder="1" applyAlignment="1" quotePrefix="1">
      <alignment horizontal="left"/>
    </xf>
    <xf numFmtId="0" fontId="67" fillId="38" borderId="0" xfId="0" applyFont="1" applyFill="1" applyBorder="1" applyAlignment="1">
      <alignment/>
    </xf>
    <xf numFmtId="0" fontId="69" fillId="38" borderId="0" xfId="0" applyFont="1" applyFill="1" applyAlignment="1">
      <alignment/>
    </xf>
    <xf numFmtId="0" fontId="70" fillId="36" borderId="0" xfId="0" applyFont="1" applyFill="1" applyAlignment="1">
      <alignment/>
    </xf>
    <xf numFmtId="0" fontId="71" fillId="36" borderId="0" xfId="0" applyFont="1" applyFill="1" applyAlignment="1">
      <alignment/>
    </xf>
    <xf numFmtId="0" fontId="70" fillId="36" borderId="0" xfId="0" applyFont="1" applyFill="1" applyBorder="1" applyAlignment="1">
      <alignment/>
    </xf>
    <xf numFmtId="0" fontId="0" fillId="38" borderId="0" xfId="0" applyFill="1" applyBorder="1" applyAlignment="1">
      <alignment/>
    </xf>
    <xf numFmtId="0" fontId="19" fillId="38" borderId="0" xfId="0" applyFont="1" applyFill="1" applyBorder="1" applyAlignment="1">
      <alignment/>
    </xf>
    <xf numFmtId="0" fontId="35" fillId="38" borderId="0" xfId="57" applyNumberFormat="1" applyFont="1" applyFill="1" applyBorder="1" applyAlignment="1">
      <alignment horizontal="center"/>
    </xf>
    <xf numFmtId="0" fontId="40" fillId="38" borderId="0" xfId="0" applyFont="1" applyFill="1" applyBorder="1" applyAlignment="1">
      <alignment/>
    </xf>
    <xf numFmtId="0" fontId="19" fillId="38" borderId="0" xfId="0" applyFont="1" applyFill="1" applyAlignment="1">
      <alignment/>
    </xf>
    <xf numFmtId="0" fontId="5" fillId="38" borderId="0" xfId="0" applyFont="1" applyFill="1" applyAlignment="1">
      <alignment horizontal="left"/>
    </xf>
    <xf numFmtId="0" fontId="5" fillId="38" borderId="0" xfId="0" applyFont="1" applyFill="1" applyBorder="1" applyAlignment="1" quotePrefix="1">
      <alignment horizontal="left"/>
    </xf>
    <xf numFmtId="0" fontId="5" fillId="38" borderId="0" xfId="0" applyFont="1" applyFill="1" applyAlignment="1" quotePrefix="1">
      <alignment horizontal="left"/>
    </xf>
    <xf numFmtId="0" fontId="71" fillId="36" borderId="0" xfId="0" applyFont="1" applyFill="1" applyAlignment="1" quotePrefix="1">
      <alignment horizontal="left"/>
    </xf>
    <xf numFmtId="1" fontId="64" fillId="37" borderId="12" xfId="0" applyNumberFormat="1" applyFont="1" applyFill="1" applyBorder="1" applyAlignment="1">
      <alignment horizontal="center"/>
    </xf>
    <xf numFmtId="0" fontId="72" fillId="33" borderId="12" xfId="0" applyFont="1" applyFill="1" applyBorder="1" applyAlignment="1">
      <alignment horizontal="left"/>
    </xf>
    <xf numFmtId="0" fontId="72" fillId="33" borderId="13" xfId="0" applyFont="1" applyFill="1" applyBorder="1" applyAlignment="1">
      <alignment horizontal="left"/>
    </xf>
    <xf numFmtId="0" fontId="72" fillId="33" borderId="11" xfId="0" applyFont="1" applyFill="1" applyBorder="1" applyAlignment="1">
      <alignment horizontal="center"/>
    </xf>
    <xf numFmtId="0" fontId="72" fillId="0" borderId="11" xfId="0" applyFont="1" applyBorder="1" applyAlignment="1">
      <alignment horizontal="center"/>
    </xf>
    <xf numFmtId="0" fontId="72" fillId="0" borderId="11" xfId="0" applyFont="1" applyBorder="1" applyAlignment="1" quotePrefix="1">
      <alignment horizontal="center"/>
    </xf>
    <xf numFmtId="0" fontId="51" fillId="38" borderId="12" xfId="0" applyFont="1" applyFill="1" applyBorder="1" applyAlignment="1" applyProtection="1">
      <alignment horizontal="center"/>
      <protection locked="0"/>
    </xf>
    <xf numFmtId="0" fontId="51" fillId="38" borderId="13" xfId="0" applyFont="1" applyFill="1" applyBorder="1" applyAlignment="1" applyProtection="1">
      <alignment horizontal="center"/>
      <protection locked="0"/>
    </xf>
    <xf numFmtId="0" fontId="51" fillId="38" borderId="14" xfId="0" applyFont="1" applyFill="1" applyBorder="1" applyAlignment="1" applyProtection="1">
      <alignment horizontal="center"/>
      <protection locked="0"/>
    </xf>
    <xf numFmtId="9" fontId="51" fillId="38" borderId="13" xfId="0" applyNumberFormat="1" applyFont="1" applyFill="1" applyBorder="1" applyAlignment="1" applyProtection="1">
      <alignment horizontal="center"/>
      <protection locked="0"/>
    </xf>
    <xf numFmtId="0" fontId="64" fillId="39" borderId="12" xfId="0" applyFont="1" applyFill="1" applyBorder="1" applyAlignment="1">
      <alignment horizontal="center"/>
    </xf>
    <xf numFmtId="2" fontId="64" fillId="39" borderId="14" xfId="0" applyNumberFormat="1" applyFont="1" applyFill="1" applyBorder="1" applyAlignment="1">
      <alignment horizontal="center"/>
    </xf>
    <xf numFmtId="1" fontId="64" fillId="39" borderId="13" xfId="0" applyNumberFormat="1" applyFont="1" applyFill="1" applyBorder="1" applyAlignment="1">
      <alignment horizontal="center"/>
    </xf>
    <xf numFmtId="2" fontId="64" fillId="39" borderId="13" xfId="0" applyNumberFormat="1" applyFont="1" applyFill="1" applyBorder="1" applyAlignment="1">
      <alignment horizontal="center"/>
    </xf>
    <xf numFmtId="179" fontId="64" fillId="39" borderId="12" xfId="0" applyNumberFormat="1" applyFont="1" applyFill="1" applyBorder="1" applyAlignment="1">
      <alignment horizontal="center"/>
    </xf>
    <xf numFmtId="179" fontId="64" fillId="39" borderId="13" xfId="0" applyNumberFormat="1" applyFont="1" applyFill="1" applyBorder="1" applyAlignment="1">
      <alignment horizontal="center"/>
    </xf>
    <xf numFmtId="179" fontId="63" fillId="36" borderId="12" xfId="0" applyNumberFormat="1" applyFont="1" applyFill="1" applyBorder="1" applyAlignment="1" applyProtection="1">
      <alignment horizontal="center"/>
      <protection/>
    </xf>
    <xf numFmtId="179" fontId="63" fillId="36" borderId="13" xfId="0" applyNumberFormat="1" applyFont="1" applyFill="1" applyBorder="1" applyAlignment="1" applyProtection="1">
      <alignment horizontal="center"/>
      <protection/>
    </xf>
    <xf numFmtId="2" fontId="63" fillId="36" borderId="12" xfId="0" applyNumberFormat="1" applyFont="1" applyFill="1" applyBorder="1" applyAlignment="1" applyProtection="1">
      <alignment horizontal="center"/>
      <protection/>
    </xf>
    <xf numFmtId="2" fontId="63" fillId="36" borderId="13" xfId="0" applyNumberFormat="1" applyFont="1" applyFill="1" applyBorder="1" applyAlignment="1" applyProtection="1">
      <alignment horizontal="center"/>
      <protection/>
    </xf>
    <xf numFmtId="1" fontId="63" fillId="36" borderId="12" xfId="0" applyNumberFormat="1" applyFont="1" applyFill="1" applyBorder="1" applyAlignment="1" applyProtection="1">
      <alignment horizontal="center"/>
      <protection/>
    </xf>
    <xf numFmtId="1" fontId="63" fillId="36" borderId="14" xfId="0" applyNumberFormat="1" applyFont="1" applyFill="1" applyBorder="1" applyAlignment="1" applyProtection="1">
      <alignment horizontal="center"/>
      <protection/>
    </xf>
    <xf numFmtId="0" fontId="64" fillId="39" borderId="14" xfId="0" applyFont="1" applyFill="1" applyBorder="1" applyAlignment="1">
      <alignment horizontal="center"/>
    </xf>
    <xf numFmtId="0" fontId="4" fillId="38" borderId="14" xfId="0" applyFont="1" applyFill="1" applyBorder="1" applyAlignment="1" applyProtection="1">
      <alignment horizontal="center"/>
      <protection locked="0"/>
    </xf>
    <xf numFmtId="9" fontId="4" fillId="38" borderId="13" xfId="0" applyNumberFormat="1" applyFont="1" applyFill="1" applyBorder="1" applyAlignment="1" applyProtection="1">
      <alignment horizontal="center"/>
      <protection locked="0"/>
    </xf>
    <xf numFmtId="0" fontId="4" fillId="38" borderId="13" xfId="0" applyFont="1" applyFill="1" applyBorder="1" applyAlignment="1" applyProtection="1">
      <alignment horizontal="center"/>
      <protection locked="0"/>
    </xf>
    <xf numFmtId="179" fontId="64" fillId="37" borderId="12" xfId="0" applyNumberFormat="1" applyFont="1" applyFill="1" applyBorder="1" applyAlignment="1">
      <alignment horizontal="center"/>
    </xf>
    <xf numFmtId="179" fontId="64" fillId="37" borderId="13" xfId="0" applyNumberFormat="1" applyFont="1" applyFill="1" applyBorder="1" applyAlignment="1">
      <alignment horizontal="center"/>
    </xf>
    <xf numFmtId="1" fontId="64" fillId="39" borderId="12" xfId="0" applyNumberFormat="1" applyFont="1" applyFill="1" applyBorder="1" applyAlignment="1">
      <alignment horizontal="center"/>
    </xf>
    <xf numFmtId="179" fontId="54" fillId="33" borderId="0" xfId="0" applyNumberFormat="1" applyFont="1" applyFill="1" applyBorder="1" applyAlignment="1">
      <alignment/>
    </xf>
    <xf numFmtId="1" fontId="54" fillId="33" borderId="0" xfId="0" applyNumberFormat="1" applyFont="1" applyFill="1" applyBorder="1" applyAlignment="1">
      <alignment/>
    </xf>
    <xf numFmtId="0" fontId="8" fillId="33" borderId="0" xfId="0" applyFont="1" applyFill="1" applyBorder="1" applyAlignment="1" quotePrefix="1">
      <alignment horizontal="left"/>
    </xf>
    <xf numFmtId="0" fontId="52" fillId="38" borderId="12" xfId="0" applyFont="1" applyFill="1" applyBorder="1" applyAlignment="1" applyProtection="1">
      <alignment horizontal="center"/>
      <protection locked="0"/>
    </xf>
    <xf numFmtId="0" fontId="52" fillId="38" borderId="14" xfId="0" applyFont="1" applyFill="1" applyBorder="1" applyAlignment="1" applyProtection="1">
      <alignment horizontal="center"/>
      <protection locked="0"/>
    </xf>
    <xf numFmtId="0" fontId="52" fillId="38" borderId="13" xfId="0" applyFont="1" applyFill="1" applyBorder="1" applyAlignment="1" applyProtection="1">
      <alignment horizontal="center"/>
      <protection locked="0"/>
    </xf>
    <xf numFmtId="1" fontId="9" fillId="33" borderId="0" xfId="0" applyNumberFormat="1" applyFont="1" applyFill="1" applyBorder="1" applyAlignment="1">
      <alignment/>
    </xf>
    <xf numFmtId="179" fontId="63" fillId="36" borderId="14" xfId="0" applyNumberFormat="1" applyFont="1" applyFill="1" applyBorder="1" applyAlignment="1">
      <alignment horizontal="center"/>
    </xf>
    <xf numFmtId="1" fontId="63" fillId="36" borderId="14" xfId="0" applyNumberFormat="1" applyFont="1" applyFill="1" applyBorder="1" applyAlignment="1">
      <alignment horizontal="center"/>
    </xf>
    <xf numFmtId="9" fontId="51" fillId="38" borderId="12" xfId="0" applyNumberFormat="1" applyFont="1" applyFill="1" applyBorder="1" applyAlignment="1" applyProtection="1">
      <alignment horizontal="center"/>
      <protection locked="0"/>
    </xf>
    <xf numFmtId="0" fontId="0" fillId="38" borderId="0" xfId="0" applyFont="1" applyFill="1" applyBorder="1" applyAlignment="1">
      <alignment/>
    </xf>
    <xf numFmtId="1" fontId="8" fillId="38" borderId="0" xfId="0" applyNumberFormat="1" applyFont="1" applyFill="1" applyBorder="1" applyAlignment="1">
      <alignment/>
    </xf>
    <xf numFmtId="1" fontId="8" fillId="38" borderId="0" xfId="0" applyNumberFormat="1" applyFont="1" applyFill="1" applyBorder="1" applyAlignment="1" quotePrefix="1">
      <alignment horizontal="left"/>
    </xf>
    <xf numFmtId="1" fontId="3" fillId="38" borderId="0" xfId="0" applyNumberFormat="1" applyFont="1" applyFill="1" applyBorder="1" applyAlignment="1">
      <alignment/>
    </xf>
    <xf numFmtId="0" fontId="73" fillId="38" borderId="0" xfId="0" applyFont="1" applyFill="1" applyBorder="1" applyAlignment="1">
      <alignment horizontal="left"/>
    </xf>
    <xf numFmtId="179" fontId="32" fillId="38" borderId="14" xfId="0" applyNumberFormat="1" applyFont="1" applyFill="1" applyBorder="1" applyAlignment="1" applyProtection="1">
      <alignment horizontal="center"/>
      <protection locked="0"/>
    </xf>
    <xf numFmtId="1" fontId="32" fillId="38" borderId="14" xfId="0" applyNumberFormat="1" applyFont="1" applyFill="1" applyBorder="1" applyAlignment="1" applyProtection="1">
      <alignment horizontal="center"/>
      <protection locked="0"/>
    </xf>
    <xf numFmtId="179" fontId="64" fillId="39" borderId="14" xfId="0" applyNumberFormat="1" applyFont="1" applyFill="1" applyBorder="1" applyAlignment="1">
      <alignment horizontal="center"/>
    </xf>
    <xf numFmtId="179" fontId="51" fillId="38" borderId="13" xfId="0" applyNumberFormat="1" applyFont="1" applyFill="1" applyBorder="1" applyAlignment="1">
      <alignment horizontal="center"/>
    </xf>
    <xf numFmtId="179" fontId="51" fillId="38" borderId="12" xfId="0" applyNumberFormat="1" applyFont="1" applyFill="1" applyBorder="1" applyAlignment="1">
      <alignment horizontal="center"/>
    </xf>
    <xf numFmtId="179" fontId="32" fillId="35" borderId="12" xfId="0" applyNumberFormat="1" applyFont="1" applyFill="1" applyBorder="1" applyAlignment="1">
      <alignment horizontal="center"/>
    </xf>
    <xf numFmtId="179" fontId="32" fillId="35" borderId="13" xfId="0" applyNumberFormat="1" applyFont="1" applyFill="1" applyBorder="1" applyAlignment="1">
      <alignment horizontal="center"/>
    </xf>
    <xf numFmtId="0" fontId="0" fillId="41" borderId="0" xfId="0" applyFill="1" applyBorder="1" applyAlignment="1">
      <alignment/>
    </xf>
    <xf numFmtId="0" fontId="75" fillId="33" borderId="0" xfId="0" applyFont="1" applyFill="1" applyBorder="1" applyAlignment="1">
      <alignment/>
    </xf>
    <xf numFmtId="1" fontId="76" fillId="33" borderId="0" xfId="0" applyNumberFormat="1" applyFont="1" applyFill="1" applyBorder="1" applyAlignment="1">
      <alignment/>
    </xf>
    <xf numFmtId="0" fontId="19" fillId="42" borderId="0" xfId="0" applyFont="1" applyFill="1" applyBorder="1" applyAlignment="1">
      <alignment/>
    </xf>
    <xf numFmtId="0" fontId="6" fillId="42" borderId="0" xfId="0" applyFont="1" applyFill="1" applyBorder="1" applyAlignment="1" quotePrefix="1">
      <alignment horizontal="left"/>
    </xf>
    <xf numFmtId="0" fontId="19" fillId="42" borderId="0" xfId="0" applyFont="1" applyFill="1" applyAlignment="1">
      <alignment/>
    </xf>
    <xf numFmtId="0" fontId="14" fillId="42" borderId="0" xfId="0" applyFont="1" applyFill="1" applyBorder="1" applyAlignment="1">
      <alignment/>
    </xf>
    <xf numFmtId="0" fontId="0" fillId="42" borderId="0" xfId="0" applyFont="1" applyFill="1" applyAlignment="1">
      <alignment/>
    </xf>
    <xf numFmtId="0" fontId="4" fillId="42" borderId="0" xfId="0" applyFont="1" applyFill="1" applyAlignment="1">
      <alignment/>
    </xf>
    <xf numFmtId="0" fontId="4" fillId="42" borderId="0" xfId="0" applyFont="1" applyFill="1" applyAlignment="1" quotePrefix="1">
      <alignment horizontal="left"/>
    </xf>
    <xf numFmtId="0" fontId="4" fillId="42" borderId="10" xfId="0" applyFont="1" applyFill="1" applyBorder="1" applyAlignment="1">
      <alignment/>
    </xf>
    <xf numFmtId="0" fontId="4" fillId="42" borderId="0" xfId="0" applyFont="1" applyFill="1" applyAlignment="1">
      <alignment horizontal="left"/>
    </xf>
    <xf numFmtId="0" fontId="4" fillId="42" borderId="0" xfId="0" applyFont="1" applyFill="1" applyBorder="1" applyAlignment="1">
      <alignment/>
    </xf>
    <xf numFmtId="0" fontId="2" fillId="42" borderId="0" xfId="0" applyFont="1" applyFill="1" applyAlignment="1">
      <alignment/>
    </xf>
    <xf numFmtId="9" fontId="3" fillId="42" borderId="10" xfId="0" applyNumberFormat="1" applyFont="1" applyFill="1" applyBorder="1" applyAlignment="1">
      <alignment/>
    </xf>
    <xf numFmtId="0" fontId="1" fillId="42" borderId="0" xfId="0" applyFont="1" applyFill="1" applyAlignment="1">
      <alignment/>
    </xf>
    <xf numFmtId="9" fontId="27" fillId="42" borderId="10" xfId="0" applyNumberFormat="1" applyFont="1" applyFill="1" applyBorder="1" applyAlignment="1">
      <alignment/>
    </xf>
    <xf numFmtId="0" fontId="10" fillId="42" borderId="0" xfId="0" applyFont="1" applyFill="1" applyAlignment="1">
      <alignment/>
    </xf>
    <xf numFmtId="9" fontId="16" fillId="42" borderId="10" xfId="0" applyNumberFormat="1" applyFont="1" applyFill="1" applyBorder="1" applyAlignment="1">
      <alignment/>
    </xf>
    <xf numFmtId="1" fontId="4" fillId="42" borderId="10" xfId="0" applyNumberFormat="1" applyFont="1" applyFill="1" applyBorder="1" applyAlignment="1">
      <alignment/>
    </xf>
    <xf numFmtId="0" fontId="5" fillId="42" borderId="0" xfId="0" applyFont="1" applyFill="1" applyAlignment="1">
      <alignment horizontal="left"/>
    </xf>
    <xf numFmtId="0" fontId="3" fillId="42" borderId="0" xfId="0" applyFont="1" applyFill="1" applyBorder="1" applyAlignment="1" quotePrefix="1">
      <alignment horizontal="left"/>
    </xf>
    <xf numFmtId="0" fontId="3" fillId="42" borderId="0" xfId="0" applyFont="1" applyFill="1" applyAlignment="1" quotePrefix="1">
      <alignment horizontal="left"/>
    </xf>
    <xf numFmtId="0" fontId="8" fillId="42" borderId="0" xfId="0" applyFont="1" applyFill="1" applyAlignment="1" quotePrefix="1">
      <alignment horizontal="left"/>
    </xf>
    <xf numFmtId="1" fontId="27" fillId="42" borderId="0" xfId="0" applyNumberFormat="1" applyFont="1" applyFill="1" applyBorder="1" applyAlignment="1">
      <alignment/>
    </xf>
    <xf numFmtId="0" fontId="11" fillId="42" borderId="0" xfId="0" applyFont="1" applyFill="1" applyBorder="1" applyAlignment="1">
      <alignment horizontal="left"/>
    </xf>
    <xf numFmtId="0" fontId="11" fillId="42" borderId="0" xfId="0" applyFont="1" applyFill="1" applyAlignment="1" quotePrefix="1">
      <alignment horizontal="left"/>
    </xf>
    <xf numFmtId="1" fontId="5" fillId="42" borderId="0" xfId="0" applyNumberFormat="1" applyFont="1" applyFill="1" applyBorder="1" applyAlignment="1">
      <alignment/>
    </xf>
    <xf numFmtId="0" fontId="77" fillId="33" borderId="0" xfId="0" applyFont="1" applyFill="1" applyBorder="1" applyAlignment="1">
      <alignment horizontal="left"/>
    </xf>
    <xf numFmtId="0" fontId="19" fillId="38" borderId="0" xfId="0" applyFont="1" applyFill="1" applyAlignment="1">
      <alignment/>
    </xf>
    <xf numFmtId="1" fontId="5" fillId="38" borderId="0" xfId="0" applyNumberFormat="1" applyFont="1" applyFill="1" applyBorder="1" applyAlignment="1">
      <alignment/>
    </xf>
    <xf numFmtId="0" fontId="9" fillId="38" borderId="0" xfId="0" applyFont="1" applyFill="1" applyBorder="1" applyAlignment="1" quotePrefix="1">
      <alignment horizontal="left"/>
    </xf>
    <xf numFmtId="1" fontId="47" fillId="38" borderId="0" xfId="0" applyNumberFormat="1" applyFont="1" applyFill="1" applyBorder="1" applyAlignment="1">
      <alignment/>
    </xf>
    <xf numFmtId="1" fontId="5" fillId="38" borderId="0" xfId="0" applyNumberFormat="1" applyFont="1" applyFill="1" applyBorder="1" applyAlignment="1" quotePrefix="1">
      <alignment horizontal="left"/>
    </xf>
    <xf numFmtId="2" fontId="19" fillId="38" borderId="0" xfId="0" applyNumberFormat="1" applyFont="1" applyFill="1" applyBorder="1" applyAlignment="1">
      <alignment/>
    </xf>
    <xf numFmtId="0" fontId="4" fillId="38" borderId="0" xfId="0" applyFont="1" applyFill="1" applyBorder="1" applyAlignment="1" quotePrefix="1">
      <alignment horizontal="left"/>
    </xf>
    <xf numFmtId="1" fontId="23" fillId="38" borderId="0" xfId="0" applyNumberFormat="1" applyFont="1" applyFill="1" applyBorder="1" applyAlignment="1">
      <alignment horizontal="center"/>
    </xf>
    <xf numFmtId="1" fontId="25" fillId="38" borderId="0" xfId="0" applyNumberFormat="1" applyFont="1" applyFill="1" applyBorder="1" applyAlignment="1">
      <alignment horizontal="center"/>
    </xf>
    <xf numFmtId="1" fontId="23" fillId="38" borderId="0" xfId="0" applyNumberFormat="1" applyFont="1" applyFill="1" applyBorder="1" applyAlignment="1">
      <alignment/>
    </xf>
    <xf numFmtId="1" fontId="25" fillId="38" borderId="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"/>
          <c:y val="0.07075"/>
          <c:w val="0.9385"/>
          <c:h val="0.9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Leimikkotiedot!$F$39</c:f>
              <c:strCache>
                <c:ptCount val="1"/>
                <c:pt idx="0">
                  <c:v>Tuore ht, €/MWh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Leimikkotiedot!$B$40:$B$50</c:f>
              <c:strCache/>
            </c:strRef>
          </c:cat>
          <c:val>
            <c:numRef>
              <c:f>Leimikkotiedot!$F$40:$F$50</c:f>
              <c:numCache/>
            </c:numRef>
          </c:val>
        </c:ser>
        <c:ser>
          <c:idx val="1"/>
          <c:order val="1"/>
          <c:tx>
            <c:strRef>
              <c:f>Leimikkotiedot!$G$39</c:f>
              <c:strCache>
                <c:ptCount val="1"/>
                <c:pt idx="0">
                  <c:v>Välivarasto ht, €/MWh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Leimikkotiedot!$B$40:$B$50</c:f>
              <c:strCache/>
            </c:strRef>
          </c:cat>
          <c:val>
            <c:numRef>
              <c:f>Leimikkotiedot!$G$40:$G$50</c:f>
              <c:numCache/>
            </c:numRef>
          </c:val>
        </c:ser>
        <c:ser>
          <c:idx val="2"/>
          <c:order val="2"/>
          <c:tx>
            <c:strRef>
              <c:f>Leimikkotiedot!$H$39</c:f>
              <c:strCache>
                <c:ptCount val="1"/>
                <c:pt idx="0">
                  <c:v>Palsta ht, €/MWh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Leimikkotiedot!$B$40:$B$50</c:f>
              <c:strCache/>
            </c:strRef>
          </c:cat>
          <c:val>
            <c:numRef>
              <c:f>Leimikkotiedot!$H$40:$H$50</c:f>
              <c:numCache/>
            </c:numRef>
          </c:val>
        </c:ser>
        <c:gapWidth val="100"/>
        <c:axId val="24230724"/>
        <c:axId val="16749925"/>
      </c:barChart>
      <c:catAx>
        <c:axId val="242307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749925"/>
        <c:crosses val="autoZero"/>
        <c:auto val="1"/>
        <c:lblOffset val="100"/>
        <c:tickLblSkip val="1"/>
        <c:noMultiLvlLbl val="0"/>
      </c:catAx>
      <c:valAx>
        <c:axId val="16749925"/>
        <c:scaling>
          <c:orientation val="minMax"/>
          <c:max val="1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</a:rPr>
                  <a:t>Käyttöpaikkakustannus, €/MWh</a:t>
                </a:r>
              </a:p>
            </c:rich>
          </c:tx>
          <c:layout>
            <c:manualLayout>
              <c:xMode val="factor"/>
              <c:yMode val="factor"/>
              <c:x val="-0.01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24230724"/>
        <c:crossesAt val="1"/>
        <c:crossBetween val="between"/>
        <c:dispUnits/>
        <c:majorUnit val="2"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535"/>
          <c:y val="0"/>
          <c:w val="0.5485"/>
          <c:h val="0.05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4.jpeg" /><Relationship Id="rId3" Type="http://schemas.openxmlformats.org/officeDocument/2006/relationships/image" Target="../media/image5.jpeg" /><Relationship Id="rId4" Type="http://schemas.openxmlformats.org/officeDocument/2006/relationships/image" Target="../media/image6.jpeg" /><Relationship Id="rId5" Type="http://schemas.openxmlformats.org/officeDocument/2006/relationships/image" Target="../media/image7.jpeg" /><Relationship Id="rId6" Type="http://schemas.openxmlformats.org/officeDocument/2006/relationships/image" Target="../media/image8.jpeg" /><Relationship Id="rId7" Type="http://schemas.openxmlformats.org/officeDocument/2006/relationships/image" Target="../media/image9.jpeg" /><Relationship Id="rId8" Type="http://schemas.openxmlformats.org/officeDocument/2006/relationships/image" Target="../media/image10.jpeg" /><Relationship Id="rId9" Type="http://schemas.openxmlformats.org/officeDocument/2006/relationships/image" Target="../media/image11.jpeg" /><Relationship Id="rId10" Type="http://schemas.openxmlformats.org/officeDocument/2006/relationships/image" Target="../media/image12.jpeg" /><Relationship Id="rId11" Type="http://schemas.openxmlformats.org/officeDocument/2006/relationships/image" Target="../media/image13.jpeg" /><Relationship Id="rId12" Type="http://schemas.openxmlformats.org/officeDocument/2006/relationships/image" Target="../media/image14.jpeg" /><Relationship Id="rId13" Type="http://schemas.openxmlformats.org/officeDocument/2006/relationships/image" Target="../media/image15.jpeg" /><Relationship Id="rId14" Type="http://schemas.openxmlformats.org/officeDocument/2006/relationships/image" Target="../media/image16.jpeg" /><Relationship Id="rId15" Type="http://schemas.openxmlformats.org/officeDocument/2006/relationships/image" Target="../media/image17.jpeg" /><Relationship Id="rId16" Type="http://schemas.openxmlformats.org/officeDocument/2006/relationships/image" Target="../media/image18.jpeg" /><Relationship Id="rId17" Type="http://schemas.openxmlformats.org/officeDocument/2006/relationships/image" Target="../media/image19.jpeg" /><Relationship Id="rId18" Type="http://schemas.openxmlformats.org/officeDocument/2006/relationships/image" Target="../media/image20.jpeg" /><Relationship Id="rId19" Type="http://schemas.openxmlformats.org/officeDocument/2006/relationships/image" Target="../media/image21.jpeg" /><Relationship Id="rId20" Type="http://schemas.openxmlformats.org/officeDocument/2006/relationships/image" Target="../media/image22.jpeg" /><Relationship Id="rId21" Type="http://schemas.openxmlformats.org/officeDocument/2006/relationships/image" Target="../media/image23.jpeg" /><Relationship Id="rId22" Type="http://schemas.openxmlformats.org/officeDocument/2006/relationships/image" Target="../media/image24.jpeg" /><Relationship Id="rId23" Type="http://schemas.openxmlformats.org/officeDocument/2006/relationships/image" Target="../media/image25.jpeg" /><Relationship Id="rId24" Type="http://schemas.openxmlformats.org/officeDocument/2006/relationships/image" Target="../media/image26.jpeg" /><Relationship Id="rId25" Type="http://schemas.openxmlformats.org/officeDocument/2006/relationships/image" Target="../media/image27.jpeg" /><Relationship Id="rId26" Type="http://schemas.openxmlformats.org/officeDocument/2006/relationships/image" Target="../media/image28.jpeg" /><Relationship Id="rId27" Type="http://schemas.openxmlformats.org/officeDocument/2006/relationships/image" Target="../media/image29.jpeg" /><Relationship Id="rId28" Type="http://schemas.openxmlformats.org/officeDocument/2006/relationships/image" Target="../media/image30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8</xdr:row>
      <xdr:rowOff>142875</xdr:rowOff>
    </xdr:from>
    <xdr:to>
      <xdr:col>4</xdr:col>
      <xdr:colOff>409575</xdr:colOff>
      <xdr:row>20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2000250"/>
          <a:ext cx="2628900" cy="2028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133350</xdr:colOff>
      <xdr:row>4</xdr:row>
      <xdr:rowOff>295275</xdr:rowOff>
    </xdr:from>
    <xdr:to>
      <xdr:col>15</xdr:col>
      <xdr:colOff>190500</xdr:colOff>
      <xdr:row>20</xdr:row>
      <xdr:rowOff>57150</xdr:rowOff>
    </xdr:to>
    <xdr:grpSp>
      <xdr:nvGrpSpPr>
        <xdr:cNvPr id="2" name="Group 956"/>
        <xdr:cNvGrpSpPr>
          <a:grpSpLocks/>
        </xdr:cNvGrpSpPr>
      </xdr:nvGrpSpPr>
      <xdr:grpSpPr>
        <a:xfrm>
          <a:off x="8667750" y="942975"/>
          <a:ext cx="666750" cy="3000375"/>
          <a:chOff x="2160" y="1008"/>
          <a:chExt cx="624" cy="1536"/>
        </a:xfrm>
        <a:solidFill>
          <a:srgbClr val="FFFFFF"/>
        </a:solidFill>
      </xdr:grpSpPr>
      <xdr:sp>
        <xdr:nvSpPr>
          <xdr:cNvPr id="3" name="Line 957" descr="Vihreä marmori"/>
          <xdr:cNvSpPr>
            <a:spLocks/>
          </xdr:cNvSpPr>
        </xdr:nvSpPr>
        <xdr:spPr>
          <a:xfrm>
            <a:off x="2496" y="1008"/>
            <a:ext cx="0" cy="1536"/>
          </a:xfrm>
          <a:prstGeom prst="line">
            <a:avLst/>
          </a:prstGeom>
          <a:noFill/>
          <a:ln w="5715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Freeform 958" descr="Vihreä marmori"/>
          <xdr:cNvSpPr>
            <a:spLocks/>
          </xdr:cNvSpPr>
        </xdr:nvSpPr>
        <xdr:spPr>
          <a:xfrm>
            <a:off x="2256" y="1152"/>
            <a:ext cx="338" cy="187"/>
          </a:xfrm>
          <a:custGeom>
            <a:pathLst>
              <a:path h="187" w="338">
                <a:moveTo>
                  <a:pt x="229" y="5"/>
                </a:moveTo>
                <a:cubicBezTo>
                  <a:pt x="138" y="11"/>
                  <a:pt x="110" y="0"/>
                  <a:pt x="47" y="41"/>
                </a:cubicBezTo>
                <a:cubicBezTo>
                  <a:pt x="44" y="65"/>
                  <a:pt x="47" y="91"/>
                  <a:pt x="38" y="114"/>
                </a:cubicBezTo>
                <a:cubicBezTo>
                  <a:pt x="34" y="124"/>
                  <a:pt x="14" y="122"/>
                  <a:pt x="11" y="132"/>
                </a:cubicBezTo>
                <a:cubicBezTo>
                  <a:pt x="0" y="165"/>
                  <a:pt x="28" y="175"/>
                  <a:pt x="47" y="187"/>
                </a:cubicBezTo>
                <a:cubicBezTo>
                  <a:pt x="120" y="177"/>
                  <a:pt x="195" y="155"/>
                  <a:pt x="266" y="132"/>
                </a:cubicBezTo>
                <a:cubicBezTo>
                  <a:pt x="308" y="146"/>
                  <a:pt x="323" y="151"/>
                  <a:pt x="338" y="105"/>
                </a:cubicBezTo>
                <a:cubicBezTo>
                  <a:pt x="331" y="84"/>
                  <a:pt x="332" y="60"/>
                  <a:pt x="320" y="41"/>
                </a:cubicBezTo>
                <a:cubicBezTo>
                  <a:pt x="301" y="12"/>
                  <a:pt x="257" y="19"/>
                  <a:pt x="229" y="5"/>
                </a:cubicBezTo>
                <a:close/>
              </a:path>
            </a:pathLst>
          </a:cu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Freeform 959" descr="Vihreä marmori"/>
          <xdr:cNvSpPr>
            <a:spLocks/>
          </xdr:cNvSpPr>
        </xdr:nvSpPr>
        <xdr:spPr>
          <a:xfrm>
            <a:off x="2160" y="1392"/>
            <a:ext cx="480" cy="139"/>
          </a:xfrm>
          <a:custGeom>
            <a:pathLst>
              <a:path h="187" w="338">
                <a:moveTo>
                  <a:pt x="229" y="5"/>
                </a:moveTo>
                <a:cubicBezTo>
                  <a:pt x="138" y="11"/>
                  <a:pt x="110" y="0"/>
                  <a:pt x="47" y="41"/>
                </a:cubicBezTo>
                <a:cubicBezTo>
                  <a:pt x="44" y="65"/>
                  <a:pt x="47" y="91"/>
                  <a:pt x="38" y="114"/>
                </a:cubicBezTo>
                <a:cubicBezTo>
                  <a:pt x="34" y="124"/>
                  <a:pt x="14" y="122"/>
                  <a:pt x="11" y="132"/>
                </a:cubicBezTo>
                <a:cubicBezTo>
                  <a:pt x="0" y="165"/>
                  <a:pt x="28" y="175"/>
                  <a:pt x="47" y="187"/>
                </a:cubicBezTo>
                <a:cubicBezTo>
                  <a:pt x="120" y="177"/>
                  <a:pt x="195" y="155"/>
                  <a:pt x="266" y="132"/>
                </a:cubicBezTo>
                <a:cubicBezTo>
                  <a:pt x="308" y="146"/>
                  <a:pt x="323" y="151"/>
                  <a:pt x="338" y="105"/>
                </a:cubicBezTo>
                <a:cubicBezTo>
                  <a:pt x="331" y="84"/>
                  <a:pt x="332" y="60"/>
                  <a:pt x="320" y="41"/>
                </a:cubicBezTo>
                <a:cubicBezTo>
                  <a:pt x="301" y="12"/>
                  <a:pt x="257" y="19"/>
                  <a:pt x="229" y="5"/>
                </a:cubicBezTo>
                <a:close/>
              </a:path>
            </a:pathLst>
          </a:cu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Freeform 960" descr="Vihreä marmori"/>
          <xdr:cNvSpPr>
            <a:spLocks/>
          </xdr:cNvSpPr>
        </xdr:nvSpPr>
        <xdr:spPr>
          <a:xfrm>
            <a:off x="2400" y="1248"/>
            <a:ext cx="288" cy="139"/>
          </a:xfrm>
          <a:custGeom>
            <a:pathLst>
              <a:path h="187" w="338">
                <a:moveTo>
                  <a:pt x="229" y="5"/>
                </a:moveTo>
                <a:cubicBezTo>
                  <a:pt x="138" y="11"/>
                  <a:pt x="110" y="0"/>
                  <a:pt x="47" y="41"/>
                </a:cubicBezTo>
                <a:cubicBezTo>
                  <a:pt x="44" y="65"/>
                  <a:pt x="47" y="91"/>
                  <a:pt x="38" y="114"/>
                </a:cubicBezTo>
                <a:cubicBezTo>
                  <a:pt x="34" y="124"/>
                  <a:pt x="14" y="122"/>
                  <a:pt x="11" y="132"/>
                </a:cubicBezTo>
                <a:cubicBezTo>
                  <a:pt x="0" y="165"/>
                  <a:pt x="28" y="175"/>
                  <a:pt x="47" y="187"/>
                </a:cubicBezTo>
                <a:cubicBezTo>
                  <a:pt x="120" y="177"/>
                  <a:pt x="195" y="155"/>
                  <a:pt x="266" y="132"/>
                </a:cubicBezTo>
                <a:cubicBezTo>
                  <a:pt x="308" y="146"/>
                  <a:pt x="323" y="151"/>
                  <a:pt x="338" y="105"/>
                </a:cubicBezTo>
                <a:cubicBezTo>
                  <a:pt x="331" y="84"/>
                  <a:pt x="332" y="60"/>
                  <a:pt x="320" y="41"/>
                </a:cubicBezTo>
                <a:cubicBezTo>
                  <a:pt x="301" y="12"/>
                  <a:pt x="257" y="19"/>
                  <a:pt x="229" y="5"/>
                </a:cubicBezTo>
                <a:close/>
              </a:path>
            </a:pathLst>
          </a:custGeom>
          <a:blipFill>
            <a:blip r:embed="rId4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Freeform 961" descr="Vihreä marmori"/>
          <xdr:cNvSpPr>
            <a:spLocks/>
          </xdr:cNvSpPr>
        </xdr:nvSpPr>
        <xdr:spPr>
          <a:xfrm>
            <a:off x="2400" y="1008"/>
            <a:ext cx="192" cy="139"/>
          </a:xfrm>
          <a:custGeom>
            <a:pathLst>
              <a:path h="187" w="338">
                <a:moveTo>
                  <a:pt x="229" y="5"/>
                </a:moveTo>
                <a:cubicBezTo>
                  <a:pt x="138" y="11"/>
                  <a:pt x="110" y="0"/>
                  <a:pt x="47" y="41"/>
                </a:cubicBezTo>
                <a:cubicBezTo>
                  <a:pt x="44" y="65"/>
                  <a:pt x="47" y="91"/>
                  <a:pt x="38" y="114"/>
                </a:cubicBezTo>
                <a:cubicBezTo>
                  <a:pt x="34" y="124"/>
                  <a:pt x="14" y="122"/>
                  <a:pt x="11" y="132"/>
                </a:cubicBezTo>
                <a:cubicBezTo>
                  <a:pt x="0" y="165"/>
                  <a:pt x="28" y="175"/>
                  <a:pt x="47" y="187"/>
                </a:cubicBezTo>
                <a:cubicBezTo>
                  <a:pt x="120" y="177"/>
                  <a:pt x="195" y="155"/>
                  <a:pt x="266" y="132"/>
                </a:cubicBezTo>
                <a:cubicBezTo>
                  <a:pt x="308" y="146"/>
                  <a:pt x="323" y="151"/>
                  <a:pt x="338" y="105"/>
                </a:cubicBezTo>
                <a:cubicBezTo>
                  <a:pt x="331" y="84"/>
                  <a:pt x="332" y="60"/>
                  <a:pt x="320" y="41"/>
                </a:cubicBezTo>
                <a:cubicBezTo>
                  <a:pt x="301" y="12"/>
                  <a:pt x="257" y="19"/>
                  <a:pt x="229" y="5"/>
                </a:cubicBezTo>
                <a:close/>
              </a:path>
            </a:pathLst>
          </a:custGeom>
          <a:blipFill>
            <a:blip r:embed="rId5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Freeform 962" descr="Vihreä marmori"/>
          <xdr:cNvSpPr>
            <a:spLocks/>
          </xdr:cNvSpPr>
        </xdr:nvSpPr>
        <xdr:spPr>
          <a:xfrm>
            <a:off x="2352" y="1440"/>
            <a:ext cx="432" cy="192"/>
          </a:xfrm>
          <a:custGeom>
            <a:pathLst>
              <a:path h="187" w="338">
                <a:moveTo>
                  <a:pt x="229" y="5"/>
                </a:moveTo>
                <a:cubicBezTo>
                  <a:pt x="138" y="11"/>
                  <a:pt x="110" y="0"/>
                  <a:pt x="47" y="41"/>
                </a:cubicBezTo>
                <a:cubicBezTo>
                  <a:pt x="44" y="65"/>
                  <a:pt x="47" y="91"/>
                  <a:pt x="38" y="114"/>
                </a:cubicBezTo>
                <a:cubicBezTo>
                  <a:pt x="34" y="124"/>
                  <a:pt x="14" y="122"/>
                  <a:pt x="11" y="132"/>
                </a:cubicBezTo>
                <a:cubicBezTo>
                  <a:pt x="0" y="165"/>
                  <a:pt x="28" y="175"/>
                  <a:pt x="47" y="187"/>
                </a:cubicBezTo>
                <a:cubicBezTo>
                  <a:pt x="120" y="177"/>
                  <a:pt x="195" y="155"/>
                  <a:pt x="266" y="132"/>
                </a:cubicBezTo>
                <a:cubicBezTo>
                  <a:pt x="308" y="146"/>
                  <a:pt x="323" y="151"/>
                  <a:pt x="338" y="105"/>
                </a:cubicBezTo>
                <a:cubicBezTo>
                  <a:pt x="331" y="84"/>
                  <a:pt x="332" y="60"/>
                  <a:pt x="320" y="41"/>
                </a:cubicBezTo>
                <a:cubicBezTo>
                  <a:pt x="301" y="12"/>
                  <a:pt x="257" y="19"/>
                  <a:pt x="229" y="5"/>
                </a:cubicBezTo>
                <a:close/>
              </a:path>
            </a:pathLst>
          </a:custGeom>
          <a:blipFill>
            <a:blip r:embed="rId6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</xdr:col>
      <xdr:colOff>133350</xdr:colOff>
      <xdr:row>4</xdr:row>
      <xdr:rowOff>76200</xdr:rowOff>
    </xdr:from>
    <xdr:to>
      <xdr:col>14</xdr:col>
      <xdr:colOff>190500</xdr:colOff>
      <xdr:row>19</xdr:row>
      <xdr:rowOff>9525</xdr:rowOff>
    </xdr:to>
    <xdr:grpSp>
      <xdr:nvGrpSpPr>
        <xdr:cNvPr id="9" name="Group 963"/>
        <xdr:cNvGrpSpPr>
          <a:grpSpLocks/>
        </xdr:cNvGrpSpPr>
      </xdr:nvGrpSpPr>
      <xdr:grpSpPr>
        <a:xfrm>
          <a:off x="8058150" y="723900"/>
          <a:ext cx="666750" cy="3009900"/>
          <a:chOff x="2160" y="1008"/>
          <a:chExt cx="624" cy="1536"/>
        </a:xfrm>
        <a:solidFill>
          <a:srgbClr val="FFFFFF"/>
        </a:solidFill>
      </xdr:grpSpPr>
      <xdr:sp>
        <xdr:nvSpPr>
          <xdr:cNvPr id="10" name="Line 964" descr="Vihreä marmori"/>
          <xdr:cNvSpPr>
            <a:spLocks/>
          </xdr:cNvSpPr>
        </xdr:nvSpPr>
        <xdr:spPr>
          <a:xfrm>
            <a:off x="2496" y="1008"/>
            <a:ext cx="0" cy="1536"/>
          </a:xfrm>
          <a:prstGeom prst="line">
            <a:avLst/>
          </a:prstGeom>
          <a:noFill/>
          <a:ln w="5715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Freeform 965" descr="Vihreä marmori"/>
          <xdr:cNvSpPr>
            <a:spLocks/>
          </xdr:cNvSpPr>
        </xdr:nvSpPr>
        <xdr:spPr>
          <a:xfrm>
            <a:off x="2256" y="1152"/>
            <a:ext cx="338" cy="187"/>
          </a:xfrm>
          <a:custGeom>
            <a:pathLst>
              <a:path h="187" w="338">
                <a:moveTo>
                  <a:pt x="229" y="5"/>
                </a:moveTo>
                <a:cubicBezTo>
                  <a:pt x="138" y="11"/>
                  <a:pt x="110" y="0"/>
                  <a:pt x="47" y="41"/>
                </a:cubicBezTo>
                <a:cubicBezTo>
                  <a:pt x="44" y="65"/>
                  <a:pt x="47" y="91"/>
                  <a:pt x="38" y="114"/>
                </a:cubicBezTo>
                <a:cubicBezTo>
                  <a:pt x="34" y="124"/>
                  <a:pt x="14" y="122"/>
                  <a:pt x="11" y="132"/>
                </a:cubicBezTo>
                <a:cubicBezTo>
                  <a:pt x="0" y="165"/>
                  <a:pt x="28" y="175"/>
                  <a:pt x="47" y="187"/>
                </a:cubicBezTo>
                <a:cubicBezTo>
                  <a:pt x="120" y="177"/>
                  <a:pt x="195" y="155"/>
                  <a:pt x="266" y="132"/>
                </a:cubicBezTo>
                <a:cubicBezTo>
                  <a:pt x="308" y="146"/>
                  <a:pt x="323" y="151"/>
                  <a:pt x="338" y="105"/>
                </a:cubicBezTo>
                <a:cubicBezTo>
                  <a:pt x="331" y="84"/>
                  <a:pt x="332" y="60"/>
                  <a:pt x="320" y="41"/>
                </a:cubicBezTo>
                <a:cubicBezTo>
                  <a:pt x="301" y="12"/>
                  <a:pt x="257" y="19"/>
                  <a:pt x="229" y="5"/>
                </a:cubicBezTo>
                <a:close/>
              </a:path>
            </a:pathLst>
          </a:custGeom>
          <a:blipFill>
            <a:blip r:embed="rId7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Freeform 966" descr="Vihreä marmori"/>
          <xdr:cNvSpPr>
            <a:spLocks/>
          </xdr:cNvSpPr>
        </xdr:nvSpPr>
        <xdr:spPr>
          <a:xfrm>
            <a:off x="2160" y="1392"/>
            <a:ext cx="480" cy="139"/>
          </a:xfrm>
          <a:custGeom>
            <a:pathLst>
              <a:path h="187" w="338">
                <a:moveTo>
                  <a:pt x="229" y="5"/>
                </a:moveTo>
                <a:cubicBezTo>
                  <a:pt x="138" y="11"/>
                  <a:pt x="110" y="0"/>
                  <a:pt x="47" y="41"/>
                </a:cubicBezTo>
                <a:cubicBezTo>
                  <a:pt x="44" y="65"/>
                  <a:pt x="47" y="91"/>
                  <a:pt x="38" y="114"/>
                </a:cubicBezTo>
                <a:cubicBezTo>
                  <a:pt x="34" y="124"/>
                  <a:pt x="14" y="122"/>
                  <a:pt x="11" y="132"/>
                </a:cubicBezTo>
                <a:cubicBezTo>
                  <a:pt x="0" y="165"/>
                  <a:pt x="28" y="175"/>
                  <a:pt x="47" y="187"/>
                </a:cubicBezTo>
                <a:cubicBezTo>
                  <a:pt x="120" y="177"/>
                  <a:pt x="195" y="155"/>
                  <a:pt x="266" y="132"/>
                </a:cubicBezTo>
                <a:cubicBezTo>
                  <a:pt x="308" y="146"/>
                  <a:pt x="323" y="151"/>
                  <a:pt x="338" y="105"/>
                </a:cubicBezTo>
                <a:cubicBezTo>
                  <a:pt x="331" y="84"/>
                  <a:pt x="332" y="60"/>
                  <a:pt x="320" y="41"/>
                </a:cubicBezTo>
                <a:cubicBezTo>
                  <a:pt x="301" y="12"/>
                  <a:pt x="257" y="19"/>
                  <a:pt x="229" y="5"/>
                </a:cubicBezTo>
                <a:close/>
              </a:path>
            </a:pathLst>
          </a:custGeom>
          <a:blipFill>
            <a:blip r:embed="rId8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Freeform 967" descr="Vihreä marmori"/>
          <xdr:cNvSpPr>
            <a:spLocks/>
          </xdr:cNvSpPr>
        </xdr:nvSpPr>
        <xdr:spPr>
          <a:xfrm>
            <a:off x="2400" y="1248"/>
            <a:ext cx="288" cy="139"/>
          </a:xfrm>
          <a:custGeom>
            <a:pathLst>
              <a:path h="187" w="338">
                <a:moveTo>
                  <a:pt x="229" y="5"/>
                </a:moveTo>
                <a:cubicBezTo>
                  <a:pt x="138" y="11"/>
                  <a:pt x="110" y="0"/>
                  <a:pt x="47" y="41"/>
                </a:cubicBezTo>
                <a:cubicBezTo>
                  <a:pt x="44" y="65"/>
                  <a:pt x="47" y="91"/>
                  <a:pt x="38" y="114"/>
                </a:cubicBezTo>
                <a:cubicBezTo>
                  <a:pt x="34" y="124"/>
                  <a:pt x="14" y="122"/>
                  <a:pt x="11" y="132"/>
                </a:cubicBezTo>
                <a:cubicBezTo>
                  <a:pt x="0" y="165"/>
                  <a:pt x="28" y="175"/>
                  <a:pt x="47" y="187"/>
                </a:cubicBezTo>
                <a:cubicBezTo>
                  <a:pt x="120" y="177"/>
                  <a:pt x="195" y="155"/>
                  <a:pt x="266" y="132"/>
                </a:cubicBezTo>
                <a:cubicBezTo>
                  <a:pt x="308" y="146"/>
                  <a:pt x="323" y="151"/>
                  <a:pt x="338" y="105"/>
                </a:cubicBezTo>
                <a:cubicBezTo>
                  <a:pt x="331" y="84"/>
                  <a:pt x="332" y="60"/>
                  <a:pt x="320" y="41"/>
                </a:cubicBezTo>
                <a:cubicBezTo>
                  <a:pt x="301" y="12"/>
                  <a:pt x="257" y="19"/>
                  <a:pt x="229" y="5"/>
                </a:cubicBezTo>
                <a:close/>
              </a:path>
            </a:pathLst>
          </a:custGeom>
          <a:blipFill>
            <a:blip r:embed="rId9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Freeform 968" descr="Vihreä marmori"/>
          <xdr:cNvSpPr>
            <a:spLocks/>
          </xdr:cNvSpPr>
        </xdr:nvSpPr>
        <xdr:spPr>
          <a:xfrm>
            <a:off x="2400" y="1008"/>
            <a:ext cx="192" cy="139"/>
          </a:xfrm>
          <a:custGeom>
            <a:pathLst>
              <a:path h="187" w="338">
                <a:moveTo>
                  <a:pt x="229" y="5"/>
                </a:moveTo>
                <a:cubicBezTo>
                  <a:pt x="138" y="11"/>
                  <a:pt x="110" y="0"/>
                  <a:pt x="47" y="41"/>
                </a:cubicBezTo>
                <a:cubicBezTo>
                  <a:pt x="44" y="65"/>
                  <a:pt x="47" y="91"/>
                  <a:pt x="38" y="114"/>
                </a:cubicBezTo>
                <a:cubicBezTo>
                  <a:pt x="34" y="124"/>
                  <a:pt x="14" y="122"/>
                  <a:pt x="11" y="132"/>
                </a:cubicBezTo>
                <a:cubicBezTo>
                  <a:pt x="0" y="165"/>
                  <a:pt x="28" y="175"/>
                  <a:pt x="47" y="187"/>
                </a:cubicBezTo>
                <a:cubicBezTo>
                  <a:pt x="120" y="177"/>
                  <a:pt x="195" y="155"/>
                  <a:pt x="266" y="132"/>
                </a:cubicBezTo>
                <a:cubicBezTo>
                  <a:pt x="308" y="146"/>
                  <a:pt x="323" y="151"/>
                  <a:pt x="338" y="105"/>
                </a:cubicBezTo>
                <a:cubicBezTo>
                  <a:pt x="331" y="84"/>
                  <a:pt x="332" y="60"/>
                  <a:pt x="320" y="41"/>
                </a:cubicBezTo>
                <a:cubicBezTo>
                  <a:pt x="301" y="12"/>
                  <a:pt x="257" y="19"/>
                  <a:pt x="229" y="5"/>
                </a:cubicBezTo>
                <a:close/>
              </a:path>
            </a:pathLst>
          </a:custGeom>
          <a:blipFill>
            <a:blip r:embed="rId10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Freeform 969" descr="Vihreä marmori"/>
          <xdr:cNvSpPr>
            <a:spLocks/>
          </xdr:cNvSpPr>
        </xdr:nvSpPr>
        <xdr:spPr>
          <a:xfrm>
            <a:off x="2352" y="1440"/>
            <a:ext cx="432" cy="192"/>
          </a:xfrm>
          <a:custGeom>
            <a:pathLst>
              <a:path h="187" w="338">
                <a:moveTo>
                  <a:pt x="229" y="5"/>
                </a:moveTo>
                <a:cubicBezTo>
                  <a:pt x="138" y="11"/>
                  <a:pt x="110" y="0"/>
                  <a:pt x="47" y="41"/>
                </a:cubicBezTo>
                <a:cubicBezTo>
                  <a:pt x="44" y="65"/>
                  <a:pt x="47" y="91"/>
                  <a:pt x="38" y="114"/>
                </a:cubicBezTo>
                <a:cubicBezTo>
                  <a:pt x="34" y="124"/>
                  <a:pt x="14" y="122"/>
                  <a:pt x="11" y="132"/>
                </a:cubicBezTo>
                <a:cubicBezTo>
                  <a:pt x="0" y="165"/>
                  <a:pt x="28" y="175"/>
                  <a:pt x="47" y="187"/>
                </a:cubicBezTo>
                <a:cubicBezTo>
                  <a:pt x="120" y="177"/>
                  <a:pt x="195" y="155"/>
                  <a:pt x="266" y="132"/>
                </a:cubicBezTo>
                <a:cubicBezTo>
                  <a:pt x="308" y="146"/>
                  <a:pt x="323" y="151"/>
                  <a:pt x="338" y="105"/>
                </a:cubicBezTo>
                <a:cubicBezTo>
                  <a:pt x="331" y="84"/>
                  <a:pt x="332" y="60"/>
                  <a:pt x="320" y="41"/>
                </a:cubicBezTo>
                <a:cubicBezTo>
                  <a:pt x="301" y="12"/>
                  <a:pt x="257" y="19"/>
                  <a:pt x="229" y="5"/>
                </a:cubicBezTo>
                <a:close/>
              </a:path>
            </a:pathLst>
          </a:custGeom>
          <a:blipFill>
            <a:blip r:embed="rId11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428625</xdr:colOff>
      <xdr:row>5</xdr:row>
      <xdr:rowOff>123825</xdr:rowOff>
    </xdr:from>
    <xdr:to>
      <xdr:col>13</xdr:col>
      <xdr:colOff>285750</xdr:colOff>
      <xdr:row>19</xdr:row>
      <xdr:rowOff>142875</xdr:rowOff>
    </xdr:to>
    <xdr:grpSp>
      <xdr:nvGrpSpPr>
        <xdr:cNvPr id="16" name="Group 977"/>
        <xdr:cNvGrpSpPr>
          <a:grpSpLocks/>
        </xdr:cNvGrpSpPr>
      </xdr:nvGrpSpPr>
      <xdr:grpSpPr>
        <a:xfrm>
          <a:off x="7134225" y="1285875"/>
          <a:ext cx="1076325" cy="2581275"/>
          <a:chOff x="2160" y="1008"/>
          <a:chExt cx="624" cy="1536"/>
        </a:xfrm>
        <a:solidFill>
          <a:srgbClr val="FFFFFF"/>
        </a:solidFill>
      </xdr:grpSpPr>
      <xdr:sp>
        <xdr:nvSpPr>
          <xdr:cNvPr id="17" name="Line 978" descr="Vihreä marmori"/>
          <xdr:cNvSpPr>
            <a:spLocks/>
          </xdr:cNvSpPr>
        </xdr:nvSpPr>
        <xdr:spPr>
          <a:xfrm>
            <a:off x="2496" y="1008"/>
            <a:ext cx="0" cy="1536"/>
          </a:xfrm>
          <a:prstGeom prst="line">
            <a:avLst/>
          </a:prstGeom>
          <a:noFill/>
          <a:ln w="5715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Freeform 979" descr="Vihreä marmori"/>
          <xdr:cNvSpPr>
            <a:spLocks/>
          </xdr:cNvSpPr>
        </xdr:nvSpPr>
        <xdr:spPr>
          <a:xfrm>
            <a:off x="2256" y="1152"/>
            <a:ext cx="338" cy="187"/>
          </a:xfrm>
          <a:custGeom>
            <a:pathLst>
              <a:path h="187" w="338">
                <a:moveTo>
                  <a:pt x="229" y="5"/>
                </a:moveTo>
                <a:cubicBezTo>
                  <a:pt x="138" y="11"/>
                  <a:pt x="110" y="0"/>
                  <a:pt x="47" y="41"/>
                </a:cubicBezTo>
                <a:cubicBezTo>
                  <a:pt x="44" y="65"/>
                  <a:pt x="47" y="91"/>
                  <a:pt x="38" y="114"/>
                </a:cubicBezTo>
                <a:cubicBezTo>
                  <a:pt x="34" y="124"/>
                  <a:pt x="14" y="122"/>
                  <a:pt x="11" y="132"/>
                </a:cubicBezTo>
                <a:cubicBezTo>
                  <a:pt x="0" y="165"/>
                  <a:pt x="28" y="175"/>
                  <a:pt x="47" y="187"/>
                </a:cubicBezTo>
                <a:cubicBezTo>
                  <a:pt x="120" y="177"/>
                  <a:pt x="195" y="155"/>
                  <a:pt x="266" y="132"/>
                </a:cubicBezTo>
                <a:cubicBezTo>
                  <a:pt x="308" y="146"/>
                  <a:pt x="323" y="151"/>
                  <a:pt x="338" y="105"/>
                </a:cubicBezTo>
                <a:cubicBezTo>
                  <a:pt x="331" y="84"/>
                  <a:pt x="332" y="60"/>
                  <a:pt x="320" y="41"/>
                </a:cubicBezTo>
                <a:cubicBezTo>
                  <a:pt x="301" y="12"/>
                  <a:pt x="257" y="19"/>
                  <a:pt x="229" y="5"/>
                </a:cubicBezTo>
                <a:close/>
              </a:path>
            </a:pathLst>
          </a:custGeom>
          <a:blipFill>
            <a:blip r:embed="rId1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Freeform 980" descr="Vihreä marmori"/>
          <xdr:cNvSpPr>
            <a:spLocks/>
          </xdr:cNvSpPr>
        </xdr:nvSpPr>
        <xdr:spPr>
          <a:xfrm>
            <a:off x="2160" y="1392"/>
            <a:ext cx="480" cy="139"/>
          </a:xfrm>
          <a:custGeom>
            <a:pathLst>
              <a:path h="187" w="338">
                <a:moveTo>
                  <a:pt x="229" y="5"/>
                </a:moveTo>
                <a:cubicBezTo>
                  <a:pt x="138" y="11"/>
                  <a:pt x="110" y="0"/>
                  <a:pt x="47" y="41"/>
                </a:cubicBezTo>
                <a:cubicBezTo>
                  <a:pt x="44" y="65"/>
                  <a:pt x="47" y="91"/>
                  <a:pt x="38" y="114"/>
                </a:cubicBezTo>
                <a:cubicBezTo>
                  <a:pt x="34" y="124"/>
                  <a:pt x="14" y="122"/>
                  <a:pt x="11" y="132"/>
                </a:cubicBezTo>
                <a:cubicBezTo>
                  <a:pt x="0" y="165"/>
                  <a:pt x="28" y="175"/>
                  <a:pt x="47" y="187"/>
                </a:cubicBezTo>
                <a:cubicBezTo>
                  <a:pt x="120" y="177"/>
                  <a:pt x="195" y="155"/>
                  <a:pt x="266" y="132"/>
                </a:cubicBezTo>
                <a:cubicBezTo>
                  <a:pt x="308" y="146"/>
                  <a:pt x="323" y="151"/>
                  <a:pt x="338" y="105"/>
                </a:cubicBezTo>
                <a:cubicBezTo>
                  <a:pt x="331" y="84"/>
                  <a:pt x="332" y="60"/>
                  <a:pt x="320" y="41"/>
                </a:cubicBezTo>
                <a:cubicBezTo>
                  <a:pt x="301" y="12"/>
                  <a:pt x="257" y="19"/>
                  <a:pt x="229" y="5"/>
                </a:cubicBezTo>
                <a:close/>
              </a:path>
            </a:pathLst>
          </a:custGeom>
          <a:blipFill>
            <a:blip r:embed="rId1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Freeform 981" descr="Vihreä marmori"/>
          <xdr:cNvSpPr>
            <a:spLocks/>
          </xdr:cNvSpPr>
        </xdr:nvSpPr>
        <xdr:spPr>
          <a:xfrm>
            <a:off x="2400" y="1248"/>
            <a:ext cx="288" cy="139"/>
          </a:xfrm>
          <a:custGeom>
            <a:pathLst>
              <a:path h="187" w="338">
                <a:moveTo>
                  <a:pt x="229" y="5"/>
                </a:moveTo>
                <a:cubicBezTo>
                  <a:pt x="138" y="11"/>
                  <a:pt x="110" y="0"/>
                  <a:pt x="47" y="41"/>
                </a:cubicBezTo>
                <a:cubicBezTo>
                  <a:pt x="44" y="65"/>
                  <a:pt x="47" y="91"/>
                  <a:pt x="38" y="114"/>
                </a:cubicBezTo>
                <a:cubicBezTo>
                  <a:pt x="34" y="124"/>
                  <a:pt x="14" y="122"/>
                  <a:pt x="11" y="132"/>
                </a:cubicBezTo>
                <a:cubicBezTo>
                  <a:pt x="0" y="165"/>
                  <a:pt x="28" y="175"/>
                  <a:pt x="47" y="187"/>
                </a:cubicBezTo>
                <a:cubicBezTo>
                  <a:pt x="120" y="177"/>
                  <a:pt x="195" y="155"/>
                  <a:pt x="266" y="132"/>
                </a:cubicBezTo>
                <a:cubicBezTo>
                  <a:pt x="308" y="146"/>
                  <a:pt x="323" y="151"/>
                  <a:pt x="338" y="105"/>
                </a:cubicBezTo>
                <a:cubicBezTo>
                  <a:pt x="331" y="84"/>
                  <a:pt x="332" y="60"/>
                  <a:pt x="320" y="41"/>
                </a:cubicBezTo>
                <a:cubicBezTo>
                  <a:pt x="301" y="12"/>
                  <a:pt x="257" y="19"/>
                  <a:pt x="229" y="5"/>
                </a:cubicBezTo>
                <a:close/>
              </a:path>
            </a:pathLst>
          </a:custGeom>
          <a:blipFill>
            <a:blip r:embed="rId14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Freeform 982" descr="Vihreä marmori"/>
          <xdr:cNvSpPr>
            <a:spLocks/>
          </xdr:cNvSpPr>
        </xdr:nvSpPr>
        <xdr:spPr>
          <a:xfrm>
            <a:off x="2400" y="1008"/>
            <a:ext cx="192" cy="139"/>
          </a:xfrm>
          <a:custGeom>
            <a:pathLst>
              <a:path h="187" w="338">
                <a:moveTo>
                  <a:pt x="229" y="5"/>
                </a:moveTo>
                <a:cubicBezTo>
                  <a:pt x="138" y="11"/>
                  <a:pt x="110" y="0"/>
                  <a:pt x="47" y="41"/>
                </a:cubicBezTo>
                <a:cubicBezTo>
                  <a:pt x="44" y="65"/>
                  <a:pt x="47" y="91"/>
                  <a:pt x="38" y="114"/>
                </a:cubicBezTo>
                <a:cubicBezTo>
                  <a:pt x="34" y="124"/>
                  <a:pt x="14" y="122"/>
                  <a:pt x="11" y="132"/>
                </a:cubicBezTo>
                <a:cubicBezTo>
                  <a:pt x="0" y="165"/>
                  <a:pt x="28" y="175"/>
                  <a:pt x="47" y="187"/>
                </a:cubicBezTo>
                <a:cubicBezTo>
                  <a:pt x="120" y="177"/>
                  <a:pt x="195" y="155"/>
                  <a:pt x="266" y="132"/>
                </a:cubicBezTo>
                <a:cubicBezTo>
                  <a:pt x="308" y="146"/>
                  <a:pt x="323" y="151"/>
                  <a:pt x="338" y="105"/>
                </a:cubicBezTo>
                <a:cubicBezTo>
                  <a:pt x="331" y="84"/>
                  <a:pt x="332" y="60"/>
                  <a:pt x="320" y="41"/>
                </a:cubicBezTo>
                <a:cubicBezTo>
                  <a:pt x="301" y="12"/>
                  <a:pt x="257" y="19"/>
                  <a:pt x="229" y="5"/>
                </a:cubicBezTo>
                <a:close/>
              </a:path>
            </a:pathLst>
          </a:custGeom>
          <a:blipFill>
            <a:blip r:embed="rId15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Freeform 983" descr="Vihreä marmori"/>
          <xdr:cNvSpPr>
            <a:spLocks/>
          </xdr:cNvSpPr>
        </xdr:nvSpPr>
        <xdr:spPr>
          <a:xfrm>
            <a:off x="2352" y="1440"/>
            <a:ext cx="432" cy="192"/>
          </a:xfrm>
          <a:custGeom>
            <a:pathLst>
              <a:path h="187" w="338">
                <a:moveTo>
                  <a:pt x="229" y="5"/>
                </a:moveTo>
                <a:cubicBezTo>
                  <a:pt x="138" y="11"/>
                  <a:pt x="110" y="0"/>
                  <a:pt x="47" y="41"/>
                </a:cubicBezTo>
                <a:cubicBezTo>
                  <a:pt x="44" y="65"/>
                  <a:pt x="47" y="91"/>
                  <a:pt x="38" y="114"/>
                </a:cubicBezTo>
                <a:cubicBezTo>
                  <a:pt x="34" y="124"/>
                  <a:pt x="14" y="122"/>
                  <a:pt x="11" y="132"/>
                </a:cubicBezTo>
                <a:cubicBezTo>
                  <a:pt x="0" y="165"/>
                  <a:pt x="28" y="175"/>
                  <a:pt x="47" y="187"/>
                </a:cubicBezTo>
                <a:cubicBezTo>
                  <a:pt x="120" y="177"/>
                  <a:pt x="195" y="155"/>
                  <a:pt x="266" y="132"/>
                </a:cubicBezTo>
                <a:cubicBezTo>
                  <a:pt x="308" y="146"/>
                  <a:pt x="323" y="151"/>
                  <a:pt x="338" y="105"/>
                </a:cubicBezTo>
                <a:cubicBezTo>
                  <a:pt x="331" y="84"/>
                  <a:pt x="332" y="60"/>
                  <a:pt x="320" y="41"/>
                </a:cubicBezTo>
                <a:cubicBezTo>
                  <a:pt x="301" y="12"/>
                  <a:pt x="257" y="19"/>
                  <a:pt x="229" y="5"/>
                </a:cubicBezTo>
                <a:close/>
              </a:path>
            </a:pathLst>
          </a:custGeom>
          <a:blipFill>
            <a:blip r:embed="rId16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161925</xdr:colOff>
      <xdr:row>19</xdr:row>
      <xdr:rowOff>9525</xdr:rowOff>
    </xdr:from>
    <xdr:to>
      <xdr:col>12</xdr:col>
      <xdr:colOff>581025</xdr:colOff>
      <xdr:row>21</xdr:row>
      <xdr:rowOff>57150</xdr:rowOff>
    </xdr:to>
    <xdr:grpSp>
      <xdr:nvGrpSpPr>
        <xdr:cNvPr id="23" name="Group 984"/>
        <xdr:cNvGrpSpPr>
          <a:grpSpLocks/>
        </xdr:cNvGrpSpPr>
      </xdr:nvGrpSpPr>
      <xdr:grpSpPr>
        <a:xfrm>
          <a:off x="6867525" y="3733800"/>
          <a:ext cx="1028700" cy="371475"/>
          <a:chOff x="912" y="5069"/>
          <a:chExt cx="864" cy="354"/>
        </a:xfrm>
        <a:solidFill>
          <a:srgbClr val="FFFFFF"/>
        </a:solidFill>
      </xdr:grpSpPr>
      <xdr:grpSp>
        <xdr:nvGrpSpPr>
          <xdr:cNvPr id="24" name="Group 985"/>
          <xdr:cNvGrpSpPr>
            <a:grpSpLocks/>
          </xdr:cNvGrpSpPr>
        </xdr:nvGrpSpPr>
        <xdr:grpSpPr>
          <a:xfrm>
            <a:off x="1015" y="5069"/>
            <a:ext cx="761" cy="163"/>
            <a:chOff x="1015" y="5069"/>
            <a:chExt cx="1876" cy="451"/>
          </a:xfrm>
          <a:solidFill>
            <a:srgbClr val="FFFFFF"/>
          </a:solidFill>
        </xdr:grpSpPr>
        <xdr:sp>
          <xdr:nvSpPr>
            <xdr:cNvPr id="25" name="Freeform 986" descr="Vihreä marmori"/>
            <xdr:cNvSpPr>
              <a:spLocks/>
            </xdr:cNvSpPr>
          </xdr:nvSpPr>
          <xdr:spPr>
            <a:xfrm>
              <a:off x="1015" y="5069"/>
              <a:ext cx="1876" cy="449"/>
            </a:xfrm>
            <a:custGeom>
              <a:pathLst>
                <a:path h="449" w="1876">
                  <a:moveTo>
                    <a:pt x="185" y="40"/>
                  </a:moveTo>
                  <a:cubicBezTo>
                    <a:pt x="233" y="34"/>
                    <a:pt x="281" y="18"/>
                    <a:pt x="330" y="21"/>
                  </a:cubicBezTo>
                  <a:cubicBezTo>
                    <a:pt x="368" y="24"/>
                    <a:pt x="439" y="58"/>
                    <a:pt x="439" y="58"/>
                  </a:cubicBezTo>
                  <a:cubicBezTo>
                    <a:pt x="639" y="9"/>
                    <a:pt x="400" y="49"/>
                    <a:pt x="566" y="76"/>
                  </a:cubicBezTo>
                  <a:cubicBezTo>
                    <a:pt x="588" y="80"/>
                    <a:pt x="688" y="24"/>
                    <a:pt x="694" y="21"/>
                  </a:cubicBezTo>
                  <a:cubicBezTo>
                    <a:pt x="885" y="71"/>
                    <a:pt x="646" y="21"/>
                    <a:pt x="839" y="21"/>
                  </a:cubicBezTo>
                  <a:cubicBezTo>
                    <a:pt x="864" y="21"/>
                    <a:pt x="888" y="34"/>
                    <a:pt x="912" y="40"/>
                  </a:cubicBezTo>
                  <a:cubicBezTo>
                    <a:pt x="1035" y="14"/>
                    <a:pt x="1027" y="34"/>
                    <a:pt x="1148" y="58"/>
                  </a:cubicBezTo>
                  <a:cubicBezTo>
                    <a:pt x="1224" y="33"/>
                    <a:pt x="1251" y="13"/>
                    <a:pt x="1330" y="40"/>
                  </a:cubicBezTo>
                  <a:cubicBezTo>
                    <a:pt x="1348" y="28"/>
                    <a:pt x="1363" y="7"/>
                    <a:pt x="1384" y="3"/>
                  </a:cubicBezTo>
                  <a:cubicBezTo>
                    <a:pt x="1403" y="0"/>
                    <a:pt x="1420" y="21"/>
                    <a:pt x="1439" y="21"/>
                  </a:cubicBezTo>
                  <a:cubicBezTo>
                    <a:pt x="1458" y="21"/>
                    <a:pt x="1475" y="9"/>
                    <a:pt x="1493" y="3"/>
                  </a:cubicBezTo>
                  <a:cubicBezTo>
                    <a:pt x="1569" y="79"/>
                    <a:pt x="1486" y="20"/>
                    <a:pt x="1584" y="3"/>
                  </a:cubicBezTo>
                  <a:cubicBezTo>
                    <a:pt x="1603" y="0"/>
                    <a:pt x="1621" y="15"/>
                    <a:pt x="1639" y="21"/>
                  </a:cubicBezTo>
                  <a:cubicBezTo>
                    <a:pt x="1718" y="141"/>
                    <a:pt x="1633" y="51"/>
                    <a:pt x="1712" y="40"/>
                  </a:cubicBezTo>
                  <a:cubicBezTo>
                    <a:pt x="1742" y="36"/>
                    <a:pt x="1772" y="52"/>
                    <a:pt x="1802" y="58"/>
                  </a:cubicBezTo>
                  <a:cubicBezTo>
                    <a:pt x="1826" y="81"/>
                    <a:pt x="1864" y="107"/>
                    <a:pt x="1857" y="149"/>
                  </a:cubicBezTo>
                  <a:cubicBezTo>
                    <a:pt x="1853" y="170"/>
                    <a:pt x="1833" y="185"/>
                    <a:pt x="1821" y="203"/>
                  </a:cubicBezTo>
                  <a:cubicBezTo>
                    <a:pt x="1833" y="215"/>
                    <a:pt x="1855" y="223"/>
                    <a:pt x="1857" y="240"/>
                  </a:cubicBezTo>
                  <a:cubicBezTo>
                    <a:pt x="1876" y="374"/>
                    <a:pt x="1749" y="385"/>
                    <a:pt x="1657" y="403"/>
                  </a:cubicBezTo>
                  <a:cubicBezTo>
                    <a:pt x="1627" y="391"/>
                    <a:pt x="1598" y="371"/>
                    <a:pt x="1566" y="367"/>
                  </a:cubicBezTo>
                  <a:cubicBezTo>
                    <a:pt x="1547" y="365"/>
                    <a:pt x="1531" y="385"/>
                    <a:pt x="1512" y="385"/>
                  </a:cubicBezTo>
                  <a:cubicBezTo>
                    <a:pt x="1493" y="385"/>
                    <a:pt x="1475" y="373"/>
                    <a:pt x="1457" y="367"/>
                  </a:cubicBezTo>
                  <a:cubicBezTo>
                    <a:pt x="1371" y="396"/>
                    <a:pt x="1290" y="414"/>
                    <a:pt x="1203" y="385"/>
                  </a:cubicBezTo>
                  <a:cubicBezTo>
                    <a:pt x="1096" y="420"/>
                    <a:pt x="984" y="439"/>
                    <a:pt x="875" y="403"/>
                  </a:cubicBezTo>
                  <a:cubicBezTo>
                    <a:pt x="863" y="415"/>
                    <a:pt x="856" y="437"/>
                    <a:pt x="839" y="440"/>
                  </a:cubicBezTo>
                  <a:cubicBezTo>
                    <a:pt x="826" y="442"/>
                    <a:pt x="731" y="409"/>
                    <a:pt x="712" y="403"/>
                  </a:cubicBezTo>
                  <a:cubicBezTo>
                    <a:pt x="604" y="438"/>
                    <a:pt x="572" y="441"/>
                    <a:pt x="457" y="421"/>
                  </a:cubicBezTo>
                  <a:cubicBezTo>
                    <a:pt x="379" y="449"/>
                    <a:pt x="351" y="428"/>
                    <a:pt x="276" y="403"/>
                  </a:cubicBezTo>
                  <a:cubicBezTo>
                    <a:pt x="264" y="415"/>
                    <a:pt x="256" y="440"/>
                    <a:pt x="239" y="440"/>
                  </a:cubicBezTo>
                  <a:cubicBezTo>
                    <a:pt x="201" y="440"/>
                    <a:pt x="167" y="412"/>
                    <a:pt x="130" y="403"/>
                  </a:cubicBezTo>
                  <a:cubicBezTo>
                    <a:pt x="106" y="397"/>
                    <a:pt x="81" y="391"/>
                    <a:pt x="57" y="385"/>
                  </a:cubicBezTo>
                  <a:cubicBezTo>
                    <a:pt x="33" y="311"/>
                    <a:pt x="0" y="285"/>
                    <a:pt x="39" y="221"/>
                  </a:cubicBezTo>
                  <a:cubicBezTo>
                    <a:pt x="48" y="206"/>
                    <a:pt x="64" y="197"/>
                    <a:pt x="76" y="185"/>
                  </a:cubicBezTo>
                  <a:cubicBezTo>
                    <a:pt x="70" y="161"/>
                    <a:pt x="49" y="136"/>
                    <a:pt x="57" y="112"/>
                  </a:cubicBezTo>
                  <a:cubicBezTo>
                    <a:pt x="78" y="50"/>
                    <a:pt x="242" y="97"/>
                    <a:pt x="185" y="40"/>
                  </a:cubicBezTo>
                  <a:close/>
                </a:path>
              </a:pathLst>
            </a:custGeom>
            <a:blipFill>
              <a:blip r:embed="rId17"/>
              <a:srcRect/>
              <a:stretch>
                <a:fillRect/>
              </a:stretch>
            </a:blip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" name="Rectangle 987" descr="Vihreä marmori"/>
            <xdr:cNvSpPr>
              <a:spLocks/>
            </xdr:cNvSpPr>
          </xdr:nvSpPr>
          <xdr:spPr>
            <a:xfrm>
              <a:off x="1152" y="5184"/>
              <a:ext cx="1632" cy="192"/>
            </a:xfrm>
            <a:prstGeom prst="rect">
              <a:avLst/>
            </a:prstGeom>
            <a:blipFill>
              <a:blip r:embed="rId18"/>
              <a:srcRect/>
              <a:stretch>
                <a:fillRect/>
              </a:stretch>
            </a:blip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" name="Line 988"/>
            <xdr:cNvSpPr>
              <a:spLocks/>
            </xdr:cNvSpPr>
          </xdr:nvSpPr>
          <xdr:spPr>
            <a:xfrm flipH="1">
              <a:off x="1200" y="5088"/>
              <a:ext cx="192" cy="384"/>
            </a:xfrm>
            <a:prstGeom prst="line">
              <a:avLst/>
            </a:prstGeom>
            <a:noFill/>
            <a:ln w="2857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8" name="Line 989"/>
            <xdr:cNvSpPr>
              <a:spLocks/>
            </xdr:cNvSpPr>
          </xdr:nvSpPr>
          <xdr:spPr>
            <a:xfrm flipH="1">
              <a:off x="1536" y="5088"/>
              <a:ext cx="240" cy="432"/>
            </a:xfrm>
            <a:prstGeom prst="line">
              <a:avLst/>
            </a:prstGeom>
            <a:noFill/>
            <a:ln w="2857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" name="Line 990"/>
            <xdr:cNvSpPr>
              <a:spLocks/>
            </xdr:cNvSpPr>
          </xdr:nvSpPr>
          <xdr:spPr>
            <a:xfrm flipH="1">
              <a:off x="1920" y="5088"/>
              <a:ext cx="192" cy="384"/>
            </a:xfrm>
            <a:prstGeom prst="line">
              <a:avLst/>
            </a:prstGeom>
            <a:noFill/>
            <a:ln w="2857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" name="Line 991"/>
            <xdr:cNvSpPr>
              <a:spLocks/>
            </xdr:cNvSpPr>
          </xdr:nvSpPr>
          <xdr:spPr>
            <a:xfrm flipH="1">
              <a:off x="2208" y="5088"/>
              <a:ext cx="240" cy="384"/>
            </a:xfrm>
            <a:prstGeom prst="line">
              <a:avLst/>
            </a:prstGeom>
            <a:noFill/>
            <a:ln w="2857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" name="Line 992"/>
            <xdr:cNvSpPr>
              <a:spLocks/>
            </xdr:cNvSpPr>
          </xdr:nvSpPr>
          <xdr:spPr>
            <a:xfrm flipH="1">
              <a:off x="2544" y="5088"/>
              <a:ext cx="192" cy="384"/>
            </a:xfrm>
            <a:prstGeom prst="line">
              <a:avLst/>
            </a:prstGeom>
            <a:noFill/>
            <a:ln w="2857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32" name="Group 993"/>
          <xdr:cNvGrpSpPr>
            <a:grpSpLocks/>
          </xdr:cNvGrpSpPr>
        </xdr:nvGrpSpPr>
        <xdr:grpSpPr>
          <a:xfrm rot="20915493">
            <a:off x="912" y="5165"/>
            <a:ext cx="761" cy="163"/>
            <a:chOff x="1015" y="5069"/>
            <a:chExt cx="1876" cy="451"/>
          </a:xfrm>
          <a:solidFill>
            <a:srgbClr val="FFFFFF"/>
          </a:solidFill>
        </xdr:grpSpPr>
        <xdr:sp>
          <xdr:nvSpPr>
            <xdr:cNvPr id="33" name="Freeform 994" descr="Vihreä marmori"/>
            <xdr:cNvSpPr>
              <a:spLocks/>
            </xdr:cNvSpPr>
          </xdr:nvSpPr>
          <xdr:spPr>
            <a:xfrm>
              <a:off x="1015" y="5069"/>
              <a:ext cx="1876" cy="449"/>
            </a:xfrm>
            <a:custGeom>
              <a:pathLst>
                <a:path h="449" w="1876">
                  <a:moveTo>
                    <a:pt x="185" y="40"/>
                  </a:moveTo>
                  <a:cubicBezTo>
                    <a:pt x="233" y="34"/>
                    <a:pt x="281" y="18"/>
                    <a:pt x="330" y="21"/>
                  </a:cubicBezTo>
                  <a:cubicBezTo>
                    <a:pt x="368" y="24"/>
                    <a:pt x="439" y="58"/>
                    <a:pt x="439" y="58"/>
                  </a:cubicBezTo>
                  <a:cubicBezTo>
                    <a:pt x="639" y="9"/>
                    <a:pt x="400" y="49"/>
                    <a:pt x="566" y="76"/>
                  </a:cubicBezTo>
                  <a:cubicBezTo>
                    <a:pt x="588" y="80"/>
                    <a:pt x="688" y="24"/>
                    <a:pt x="694" y="21"/>
                  </a:cubicBezTo>
                  <a:cubicBezTo>
                    <a:pt x="885" y="71"/>
                    <a:pt x="646" y="21"/>
                    <a:pt x="839" y="21"/>
                  </a:cubicBezTo>
                  <a:cubicBezTo>
                    <a:pt x="864" y="21"/>
                    <a:pt x="888" y="34"/>
                    <a:pt x="912" y="40"/>
                  </a:cubicBezTo>
                  <a:cubicBezTo>
                    <a:pt x="1035" y="14"/>
                    <a:pt x="1027" y="34"/>
                    <a:pt x="1148" y="58"/>
                  </a:cubicBezTo>
                  <a:cubicBezTo>
                    <a:pt x="1224" y="33"/>
                    <a:pt x="1251" y="13"/>
                    <a:pt x="1330" y="40"/>
                  </a:cubicBezTo>
                  <a:cubicBezTo>
                    <a:pt x="1348" y="28"/>
                    <a:pt x="1363" y="7"/>
                    <a:pt x="1384" y="3"/>
                  </a:cubicBezTo>
                  <a:cubicBezTo>
                    <a:pt x="1403" y="0"/>
                    <a:pt x="1420" y="21"/>
                    <a:pt x="1439" y="21"/>
                  </a:cubicBezTo>
                  <a:cubicBezTo>
                    <a:pt x="1458" y="21"/>
                    <a:pt x="1475" y="9"/>
                    <a:pt x="1493" y="3"/>
                  </a:cubicBezTo>
                  <a:cubicBezTo>
                    <a:pt x="1569" y="79"/>
                    <a:pt x="1486" y="20"/>
                    <a:pt x="1584" y="3"/>
                  </a:cubicBezTo>
                  <a:cubicBezTo>
                    <a:pt x="1603" y="0"/>
                    <a:pt x="1621" y="15"/>
                    <a:pt x="1639" y="21"/>
                  </a:cubicBezTo>
                  <a:cubicBezTo>
                    <a:pt x="1718" y="141"/>
                    <a:pt x="1633" y="51"/>
                    <a:pt x="1712" y="40"/>
                  </a:cubicBezTo>
                  <a:cubicBezTo>
                    <a:pt x="1742" y="36"/>
                    <a:pt x="1772" y="52"/>
                    <a:pt x="1802" y="58"/>
                  </a:cubicBezTo>
                  <a:cubicBezTo>
                    <a:pt x="1826" y="81"/>
                    <a:pt x="1864" y="107"/>
                    <a:pt x="1857" y="149"/>
                  </a:cubicBezTo>
                  <a:cubicBezTo>
                    <a:pt x="1853" y="170"/>
                    <a:pt x="1833" y="185"/>
                    <a:pt x="1821" y="203"/>
                  </a:cubicBezTo>
                  <a:cubicBezTo>
                    <a:pt x="1833" y="215"/>
                    <a:pt x="1855" y="223"/>
                    <a:pt x="1857" y="240"/>
                  </a:cubicBezTo>
                  <a:cubicBezTo>
                    <a:pt x="1876" y="374"/>
                    <a:pt x="1749" y="385"/>
                    <a:pt x="1657" y="403"/>
                  </a:cubicBezTo>
                  <a:cubicBezTo>
                    <a:pt x="1627" y="391"/>
                    <a:pt x="1598" y="371"/>
                    <a:pt x="1566" y="367"/>
                  </a:cubicBezTo>
                  <a:cubicBezTo>
                    <a:pt x="1547" y="365"/>
                    <a:pt x="1531" y="385"/>
                    <a:pt x="1512" y="385"/>
                  </a:cubicBezTo>
                  <a:cubicBezTo>
                    <a:pt x="1493" y="385"/>
                    <a:pt x="1475" y="373"/>
                    <a:pt x="1457" y="367"/>
                  </a:cubicBezTo>
                  <a:cubicBezTo>
                    <a:pt x="1371" y="396"/>
                    <a:pt x="1290" y="414"/>
                    <a:pt x="1203" y="385"/>
                  </a:cubicBezTo>
                  <a:cubicBezTo>
                    <a:pt x="1096" y="420"/>
                    <a:pt x="984" y="439"/>
                    <a:pt x="875" y="403"/>
                  </a:cubicBezTo>
                  <a:cubicBezTo>
                    <a:pt x="863" y="415"/>
                    <a:pt x="856" y="437"/>
                    <a:pt x="839" y="440"/>
                  </a:cubicBezTo>
                  <a:cubicBezTo>
                    <a:pt x="826" y="442"/>
                    <a:pt x="731" y="409"/>
                    <a:pt x="712" y="403"/>
                  </a:cubicBezTo>
                  <a:cubicBezTo>
                    <a:pt x="604" y="438"/>
                    <a:pt x="572" y="441"/>
                    <a:pt x="457" y="421"/>
                  </a:cubicBezTo>
                  <a:cubicBezTo>
                    <a:pt x="379" y="449"/>
                    <a:pt x="351" y="428"/>
                    <a:pt x="276" y="403"/>
                  </a:cubicBezTo>
                  <a:cubicBezTo>
                    <a:pt x="264" y="415"/>
                    <a:pt x="256" y="440"/>
                    <a:pt x="239" y="440"/>
                  </a:cubicBezTo>
                  <a:cubicBezTo>
                    <a:pt x="201" y="440"/>
                    <a:pt x="167" y="412"/>
                    <a:pt x="130" y="403"/>
                  </a:cubicBezTo>
                  <a:cubicBezTo>
                    <a:pt x="106" y="397"/>
                    <a:pt x="81" y="391"/>
                    <a:pt x="57" y="385"/>
                  </a:cubicBezTo>
                  <a:cubicBezTo>
                    <a:pt x="33" y="311"/>
                    <a:pt x="0" y="285"/>
                    <a:pt x="39" y="221"/>
                  </a:cubicBezTo>
                  <a:cubicBezTo>
                    <a:pt x="48" y="206"/>
                    <a:pt x="64" y="197"/>
                    <a:pt x="76" y="185"/>
                  </a:cubicBezTo>
                  <a:cubicBezTo>
                    <a:pt x="70" y="161"/>
                    <a:pt x="49" y="136"/>
                    <a:pt x="57" y="112"/>
                  </a:cubicBezTo>
                  <a:cubicBezTo>
                    <a:pt x="78" y="50"/>
                    <a:pt x="242" y="97"/>
                    <a:pt x="185" y="40"/>
                  </a:cubicBezTo>
                  <a:close/>
                </a:path>
              </a:pathLst>
            </a:custGeom>
            <a:blipFill>
              <a:blip r:embed="rId19"/>
              <a:srcRect/>
              <a:stretch>
                <a:fillRect/>
              </a:stretch>
            </a:blip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" name="Rectangle 995" descr="Vihreä marmori"/>
            <xdr:cNvSpPr>
              <a:spLocks/>
            </xdr:cNvSpPr>
          </xdr:nvSpPr>
          <xdr:spPr>
            <a:xfrm>
              <a:off x="1152" y="5184"/>
              <a:ext cx="1632" cy="192"/>
            </a:xfrm>
            <a:prstGeom prst="rect">
              <a:avLst/>
            </a:prstGeom>
            <a:blipFill>
              <a:blip r:embed="rId20"/>
              <a:srcRect/>
              <a:stretch>
                <a:fillRect/>
              </a:stretch>
            </a:blip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" name="Line 996"/>
            <xdr:cNvSpPr>
              <a:spLocks/>
            </xdr:cNvSpPr>
          </xdr:nvSpPr>
          <xdr:spPr>
            <a:xfrm flipH="1">
              <a:off x="1200" y="5088"/>
              <a:ext cx="192" cy="384"/>
            </a:xfrm>
            <a:prstGeom prst="line">
              <a:avLst/>
            </a:prstGeom>
            <a:noFill/>
            <a:ln w="2857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6" name="Line 997"/>
            <xdr:cNvSpPr>
              <a:spLocks/>
            </xdr:cNvSpPr>
          </xdr:nvSpPr>
          <xdr:spPr>
            <a:xfrm flipH="1">
              <a:off x="1536" y="5088"/>
              <a:ext cx="240" cy="432"/>
            </a:xfrm>
            <a:prstGeom prst="line">
              <a:avLst/>
            </a:prstGeom>
            <a:noFill/>
            <a:ln w="2857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7" name="Line 998"/>
            <xdr:cNvSpPr>
              <a:spLocks/>
            </xdr:cNvSpPr>
          </xdr:nvSpPr>
          <xdr:spPr>
            <a:xfrm flipH="1">
              <a:off x="1920" y="5088"/>
              <a:ext cx="192" cy="384"/>
            </a:xfrm>
            <a:prstGeom prst="line">
              <a:avLst/>
            </a:prstGeom>
            <a:noFill/>
            <a:ln w="2857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8" name="Line 999"/>
            <xdr:cNvSpPr>
              <a:spLocks/>
            </xdr:cNvSpPr>
          </xdr:nvSpPr>
          <xdr:spPr>
            <a:xfrm flipH="1">
              <a:off x="2208" y="5088"/>
              <a:ext cx="240" cy="384"/>
            </a:xfrm>
            <a:prstGeom prst="line">
              <a:avLst/>
            </a:prstGeom>
            <a:noFill/>
            <a:ln w="2857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9" name="Line 1000"/>
            <xdr:cNvSpPr>
              <a:spLocks/>
            </xdr:cNvSpPr>
          </xdr:nvSpPr>
          <xdr:spPr>
            <a:xfrm flipH="1">
              <a:off x="2544" y="5088"/>
              <a:ext cx="192" cy="384"/>
            </a:xfrm>
            <a:prstGeom prst="line">
              <a:avLst/>
            </a:prstGeom>
            <a:noFill/>
            <a:ln w="2857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40" name="Group 1001"/>
          <xdr:cNvGrpSpPr>
            <a:grpSpLocks/>
          </xdr:cNvGrpSpPr>
        </xdr:nvGrpSpPr>
        <xdr:grpSpPr>
          <a:xfrm rot="1325642">
            <a:off x="1007" y="5260"/>
            <a:ext cx="768" cy="163"/>
            <a:chOff x="1015" y="5069"/>
            <a:chExt cx="1876" cy="451"/>
          </a:xfrm>
          <a:solidFill>
            <a:srgbClr val="FFFFFF"/>
          </a:solidFill>
        </xdr:grpSpPr>
        <xdr:sp>
          <xdr:nvSpPr>
            <xdr:cNvPr id="41" name="Freeform 1002" descr="Vihreä marmori"/>
            <xdr:cNvSpPr>
              <a:spLocks/>
            </xdr:cNvSpPr>
          </xdr:nvSpPr>
          <xdr:spPr>
            <a:xfrm>
              <a:off x="1015" y="5069"/>
              <a:ext cx="1876" cy="449"/>
            </a:xfrm>
            <a:custGeom>
              <a:pathLst>
                <a:path h="449" w="1876">
                  <a:moveTo>
                    <a:pt x="185" y="40"/>
                  </a:moveTo>
                  <a:cubicBezTo>
                    <a:pt x="233" y="34"/>
                    <a:pt x="281" y="18"/>
                    <a:pt x="330" y="21"/>
                  </a:cubicBezTo>
                  <a:cubicBezTo>
                    <a:pt x="368" y="24"/>
                    <a:pt x="439" y="58"/>
                    <a:pt x="439" y="58"/>
                  </a:cubicBezTo>
                  <a:cubicBezTo>
                    <a:pt x="639" y="9"/>
                    <a:pt x="400" y="49"/>
                    <a:pt x="566" y="76"/>
                  </a:cubicBezTo>
                  <a:cubicBezTo>
                    <a:pt x="588" y="80"/>
                    <a:pt x="688" y="24"/>
                    <a:pt x="694" y="21"/>
                  </a:cubicBezTo>
                  <a:cubicBezTo>
                    <a:pt x="885" y="71"/>
                    <a:pt x="646" y="21"/>
                    <a:pt x="839" y="21"/>
                  </a:cubicBezTo>
                  <a:cubicBezTo>
                    <a:pt x="864" y="21"/>
                    <a:pt x="888" y="34"/>
                    <a:pt x="912" y="40"/>
                  </a:cubicBezTo>
                  <a:cubicBezTo>
                    <a:pt x="1035" y="14"/>
                    <a:pt x="1027" y="34"/>
                    <a:pt x="1148" y="58"/>
                  </a:cubicBezTo>
                  <a:cubicBezTo>
                    <a:pt x="1224" y="33"/>
                    <a:pt x="1251" y="13"/>
                    <a:pt x="1330" y="40"/>
                  </a:cubicBezTo>
                  <a:cubicBezTo>
                    <a:pt x="1348" y="28"/>
                    <a:pt x="1363" y="7"/>
                    <a:pt x="1384" y="3"/>
                  </a:cubicBezTo>
                  <a:cubicBezTo>
                    <a:pt x="1403" y="0"/>
                    <a:pt x="1420" y="21"/>
                    <a:pt x="1439" y="21"/>
                  </a:cubicBezTo>
                  <a:cubicBezTo>
                    <a:pt x="1458" y="21"/>
                    <a:pt x="1475" y="9"/>
                    <a:pt x="1493" y="3"/>
                  </a:cubicBezTo>
                  <a:cubicBezTo>
                    <a:pt x="1569" y="79"/>
                    <a:pt x="1486" y="20"/>
                    <a:pt x="1584" y="3"/>
                  </a:cubicBezTo>
                  <a:cubicBezTo>
                    <a:pt x="1603" y="0"/>
                    <a:pt x="1621" y="15"/>
                    <a:pt x="1639" y="21"/>
                  </a:cubicBezTo>
                  <a:cubicBezTo>
                    <a:pt x="1718" y="141"/>
                    <a:pt x="1633" y="51"/>
                    <a:pt x="1712" y="40"/>
                  </a:cubicBezTo>
                  <a:cubicBezTo>
                    <a:pt x="1742" y="36"/>
                    <a:pt x="1772" y="52"/>
                    <a:pt x="1802" y="58"/>
                  </a:cubicBezTo>
                  <a:cubicBezTo>
                    <a:pt x="1826" y="81"/>
                    <a:pt x="1864" y="107"/>
                    <a:pt x="1857" y="149"/>
                  </a:cubicBezTo>
                  <a:cubicBezTo>
                    <a:pt x="1853" y="170"/>
                    <a:pt x="1833" y="185"/>
                    <a:pt x="1821" y="203"/>
                  </a:cubicBezTo>
                  <a:cubicBezTo>
                    <a:pt x="1833" y="215"/>
                    <a:pt x="1855" y="223"/>
                    <a:pt x="1857" y="240"/>
                  </a:cubicBezTo>
                  <a:cubicBezTo>
                    <a:pt x="1876" y="374"/>
                    <a:pt x="1749" y="385"/>
                    <a:pt x="1657" y="403"/>
                  </a:cubicBezTo>
                  <a:cubicBezTo>
                    <a:pt x="1627" y="391"/>
                    <a:pt x="1598" y="371"/>
                    <a:pt x="1566" y="367"/>
                  </a:cubicBezTo>
                  <a:cubicBezTo>
                    <a:pt x="1547" y="365"/>
                    <a:pt x="1531" y="385"/>
                    <a:pt x="1512" y="385"/>
                  </a:cubicBezTo>
                  <a:cubicBezTo>
                    <a:pt x="1493" y="385"/>
                    <a:pt x="1475" y="373"/>
                    <a:pt x="1457" y="367"/>
                  </a:cubicBezTo>
                  <a:cubicBezTo>
                    <a:pt x="1371" y="396"/>
                    <a:pt x="1290" y="414"/>
                    <a:pt x="1203" y="385"/>
                  </a:cubicBezTo>
                  <a:cubicBezTo>
                    <a:pt x="1096" y="420"/>
                    <a:pt x="984" y="439"/>
                    <a:pt x="875" y="403"/>
                  </a:cubicBezTo>
                  <a:cubicBezTo>
                    <a:pt x="863" y="415"/>
                    <a:pt x="856" y="437"/>
                    <a:pt x="839" y="440"/>
                  </a:cubicBezTo>
                  <a:cubicBezTo>
                    <a:pt x="826" y="442"/>
                    <a:pt x="731" y="409"/>
                    <a:pt x="712" y="403"/>
                  </a:cubicBezTo>
                  <a:cubicBezTo>
                    <a:pt x="604" y="438"/>
                    <a:pt x="572" y="441"/>
                    <a:pt x="457" y="421"/>
                  </a:cubicBezTo>
                  <a:cubicBezTo>
                    <a:pt x="379" y="449"/>
                    <a:pt x="351" y="428"/>
                    <a:pt x="276" y="403"/>
                  </a:cubicBezTo>
                  <a:cubicBezTo>
                    <a:pt x="264" y="415"/>
                    <a:pt x="256" y="440"/>
                    <a:pt x="239" y="440"/>
                  </a:cubicBezTo>
                  <a:cubicBezTo>
                    <a:pt x="201" y="440"/>
                    <a:pt x="167" y="412"/>
                    <a:pt x="130" y="403"/>
                  </a:cubicBezTo>
                  <a:cubicBezTo>
                    <a:pt x="106" y="397"/>
                    <a:pt x="81" y="391"/>
                    <a:pt x="57" y="385"/>
                  </a:cubicBezTo>
                  <a:cubicBezTo>
                    <a:pt x="33" y="311"/>
                    <a:pt x="0" y="285"/>
                    <a:pt x="39" y="221"/>
                  </a:cubicBezTo>
                  <a:cubicBezTo>
                    <a:pt x="48" y="206"/>
                    <a:pt x="64" y="197"/>
                    <a:pt x="76" y="185"/>
                  </a:cubicBezTo>
                  <a:cubicBezTo>
                    <a:pt x="70" y="161"/>
                    <a:pt x="49" y="136"/>
                    <a:pt x="57" y="112"/>
                  </a:cubicBezTo>
                  <a:cubicBezTo>
                    <a:pt x="78" y="50"/>
                    <a:pt x="242" y="97"/>
                    <a:pt x="185" y="40"/>
                  </a:cubicBezTo>
                  <a:close/>
                </a:path>
              </a:pathLst>
            </a:custGeom>
            <a:blipFill>
              <a:blip r:embed="rId21"/>
              <a:srcRect/>
              <a:stretch>
                <a:fillRect/>
              </a:stretch>
            </a:blip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2" name="Rectangle 1003" descr="Vihreä marmori"/>
            <xdr:cNvSpPr>
              <a:spLocks/>
            </xdr:cNvSpPr>
          </xdr:nvSpPr>
          <xdr:spPr>
            <a:xfrm>
              <a:off x="1152" y="5184"/>
              <a:ext cx="1632" cy="192"/>
            </a:xfrm>
            <a:prstGeom prst="rect">
              <a:avLst/>
            </a:prstGeom>
            <a:blipFill>
              <a:blip r:embed="rId22"/>
              <a:srcRect/>
              <a:stretch>
                <a:fillRect/>
              </a:stretch>
            </a:blip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3" name="Line 1004"/>
            <xdr:cNvSpPr>
              <a:spLocks/>
            </xdr:cNvSpPr>
          </xdr:nvSpPr>
          <xdr:spPr>
            <a:xfrm flipH="1">
              <a:off x="1200" y="5088"/>
              <a:ext cx="192" cy="384"/>
            </a:xfrm>
            <a:prstGeom prst="line">
              <a:avLst/>
            </a:prstGeom>
            <a:noFill/>
            <a:ln w="2857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4" name="Line 1005"/>
            <xdr:cNvSpPr>
              <a:spLocks/>
            </xdr:cNvSpPr>
          </xdr:nvSpPr>
          <xdr:spPr>
            <a:xfrm flipH="1">
              <a:off x="1536" y="5088"/>
              <a:ext cx="240" cy="432"/>
            </a:xfrm>
            <a:prstGeom prst="line">
              <a:avLst/>
            </a:prstGeom>
            <a:noFill/>
            <a:ln w="2857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5" name="Line 1006"/>
            <xdr:cNvSpPr>
              <a:spLocks/>
            </xdr:cNvSpPr>
          </xdr:nvSpPr>
          <xdr:spPr>
            <a:xfrm flipH="1">
              <a:off x="1920" y="5088"/>
              <a:ext cx="192" cy="384"/>
            </a:xfrm>
            <a:prstGeom prst="line">
              <a:avLst/>
            </a:prstGeom>
            <a:noFill/>
            <a:ln w="2857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6" name="Line 1007"/>
            <xdr:cNvSpPr>
              <a:spLocks/>
            </xdr:cNvSpPr>
          </xdr:nvSpPr>
          <xdr:spPr>
            <a:xfrm flipH="1">
              <a:off x="2208" y="5088"/>
              <a:ext cx="240" cy="384"/>
            </a:xfrm>
            <a:prstGeom prst="line">
              <a:avLst/>
            </a:prstGeom>
            <a:noFill/>
            <a:ln w="2857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7" name="Line 1008"/>
            <xdr:cNvSpPr>
              <a:spLocks/>
            </xdr:cNvSpPr>
          </xdr:nvSpPr>
          <xdr:spPr>
            <a:xfrm flipH="1">
              <a:off x="2544" y="5088"/>
              <a:ext cx="192" cy="384"/>
            </a:xfrm>
            <a:prstGeom prst="line">
              <a:avLst/>
            </a:prstGeom>
            <a:noFill/>
            <a:ln w="2857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12</xdr:col>
      <xdr:colOff>600075</xdr:colOff>
      <xdr:row>19</xdr:row>
      <xdr:rowOff>9525</xdr:rowOff>
    </xdr:from>
    <xdr:to>
      <xdr:col>14</xdr:col>
      <xdr:colOff>447675</xdr:colOff>
      <xdr:row>21</xdr:row>
      <xdr:rowOff>57150</xdr:rowOff>
    </xdr:to>
    <xdr:grpSp>
      <xdr:nvGrpSpPr>
        <xdr:cNvPr id="48" name="Group 1009"/>
        <xdr:cNvGrpSpPr>
          <a:grpSpLocks/>
        </xdr:cNvGrpSpPr>
      </xdr:nvGrpSpPr>
      <xdr:grpSpPr>
        <a:xfrm>
          <a:off x="7915275" y="3733800"/>
          <a:ext cx="1066800" cy="371475"/>
          <a:chOff x="912" y="5069"/>
          <a:chExt cx="864" cy="354"/>
        </a:xfrm>
        <a:solidFill>
          <a:srgbClr val="FFFFFF"/>
        </a:solidFill>
      </xdr:grpSpPr>
      <xdr:grpSp>
        <xdr:nvGrpSpPr>
          <xdr:cNvPr id="49" name="Group 1010"/>
          <xdr:cNvGrpSpPr>
            <a:grpSpLocks/>
          </xdr:cNvGrpSpPr>
        </xdr:nvGrpSpPr>
        <xdr:grpSpPr>
          <a:xfrm>
            <a:off x="1015" y="5069"/>
            <a:ext cx="761" cy="163"/>
            <a:chOff x="1015" y="5069"/>
            <a:chExt cx="1876" cy="451"/>
          </a:xfrm>
          <a:solidFill>
            <a:srgbClr val="FFFFFF"/>
          </a:solidFill>
        </xdr:grpSpPr>
        <xdr:sp>
          <xdr:nvSpPr>
            <xdr:cNvPr id="50" name="Freeform 1011" descr="Vihreä marmori"/>
            <xdr:cNvSpPr>
              <a:spLocks/>
            </xdr:cNvSpPr>
          </xdr:nvSpPr>
          <xdr:spPr>
            <a:xfrm>
              <a:off x="1015" y="5069"/>
              <a:ext cx="1876" cy="449"/>
            </a:xfrm>
            <a:custGeom>
              <a:pathLst>
                <a:path h="449" w="1876">
                  <a:moveTo>
                    <a:pt x="185" y="40"/>
                  </a:moveTo>
                  <a:cubicBezTo>
                    <a:pt x="233" y="34"/>
                    <a:pt x="281" y="18"/>
                    <a:pt x="330" y="21"/>
                  </a:cubicBezTo>
                  <a:cubicBezTo>
                    <a:pt x="368" y="24"/>
                    <a:pt x="439" y="58"/>
                    <a:pt x="439" y="58"/>
                  </a:cubicBezTo>
                  <a:cubicBezTo>
                    <a:pt x="639" y="9"/>
                    <a:pt x="400" y="49"/>
                    <a:pt x="566" y="76"/>
                  </a:cubicBezTo>
                  <a:cubicBezTo>
                    <a:pt x="588" y="80"/>
                    <a:pt x="688" y="24"/>
                    <a:pt x="694" y="21"/>
                  </a:cubicBezTo>
                  <a:cubicBezTo>
                    <a:pt x="885" y="71"/>
                    <a:pt x="646" y="21"/>
                    <a:pt x="839" y="21"/>
                  </a:cubicBezTo>
                  <a:cubicBezTo>
                    <a:pt x="864" y="21"/>
                    <a:pt x="888" y="34"/>
                    <a:pt x="912" y="40"/>
                  </a:cubicBezTo>
                  <a:cubicBezTo>
                    <a:pt x="1035" y="14"/>
                    <a:pt x="1027" y="34"/>
                    <a:pt x="1148" y="58"/>
                  </a:cubicBezTo>
                  <a:cubicBezTo>
                    <a:pt x="1224" y="33"/>
                    <a:pt x="1251" y="13"/>
                    <a:pt x="1330" y="40"/>
                  </a:cubicBezTo>
                  <a:cubicBezTo>
                    <a:pt x="1348" y="28"/>
                    <a:pt x="1363" y="7"/>
                    <a:pt x="1384" y="3"/>
                  </a:cubicBezTo>
                  <a:cubicBezTo>
                    <a:pt x="1403" y="0"/>
                    <a:pt x="1420" y="21"/>
                    <a:pt x="1439" y="21"/>
                  </a:cubicBezTo>
                  <a:cubicBezTo>
                    <a:pt x="1458" y="21"/>
                    <a:pt x="1475" y="9"/>
                    <a:pt x="1493" y="3"/>
                  </a:cubicBezTo>
                  <a:cubicBezTo>
                    <a:pt x="1569" y="79"/>
                    <a:pt x="1486" y="20"/>
                    <a:pt x="1584" y="3"/>
                  </a:cubicBezTo>
                  <a:cubicBezTo>
                    <a:pt x="1603" y="0"/>
                    <a:pt x="1621" y="15"/>
                    <a:pt x="1639" y="21"/>
                  </a:cubicBezTo>
                  <a:cubicBezTo>
                    <a:pt x="1718" y="141"/>
                    <a:pt x="1633" y="51"/>
                    <a:pt x="1712" y="40"/>
                  </a:cubicBezTo>
                  <a:cubicBezTo>
                    <a:pt x="1742" y="36"/>
                    <a:pt x="1772" y="52"/>
                    <a:pt x="1802" y="58"/>
                  </a:cubicBezTo>
                  <a:cubicBezTo>
                    <a:pt x="1826" y="81"/>
                    <a:pt x="1864" y="107"/>
                    <a:pt x="1857" y="149"/>
                  </a:cubicBezTo>
                  <a:cubicBezTo>
                    <a:pt x="1853" y="170"/>
                    <a:pt x="1833" y="185"/>
                    <a:pt x="1821" y="203"/>
                  </a:cubicBezTo>
                  <a:cubicBezTo>
                    <a:pt x="1833" y="215"/>
                    <a:pt x="1855" y="223"/>
                    <a:pt x="1857" y="240"/>
                  </a:cubicBezTo>
                  <a:cubicBezTo>
                    <a:pt x="1876" y="374"/>
                    <a:pt x="1749" y="385"/>
                    <a:pt x="1657" y="403"/>
                  </a:cubicBezTo>
                  <a:cubicBezTo>
                    <a:pt x="1627" y="391"/>
                    <a:pt x="1598" y="371"/>
                    <a:pt x="1566" y="367"/>
                  </a:cubicBezTo>
                  <a:cubicBezTo>
                    <a:pt x="1547" y="365"/>
                    <a:pt x="1531" y="385"/>
                    <a:pt x="1512" y="385"/>
                  </a:cubicBezTo>
                  <a:cubicBezTo>
                    <a:pt x="1493" y="385"/>
                    <a:pt x="1475" y="373"/>
                    <a:pt x="1457" y="367"/>
                  </a:cubicBezTo>
                  <a:cubicBezTo>
                    <a:pt x="1371" y="396"/>
                    <a:pt x="1290" y="414"/>
                    <a:pt x="1203" y="385"/>
                  </a:cubicBezTo>
                  <a:cubicBezTo>
                    <a:pt x="1096" y="420"/>
                    <a:pt x="984" y="439"/>
                    <a:pt x="875" y="403"/>
                  </a:cubicBezTo>
                  <a:cubicBezTo>
                    <a:pt x="863" y="415"/>
                    <a:pt x="856" y="437"/>
                    <a:pt x="839" y="440"/>
                  </a:cubicBezTo>
                  <a:cubicBezTo>
                    <a:pt x="826" y="442"/>
                    <a:pt x="731" y="409"/>
                    <a:pt x="712" y="403"/>
                  </a:cubicBezTo>
                  <a:cubicBezTo>
                    <a:pt x="604" y="438"/>
                    <a:pt x="572" y="441"/>
                    <a:pt x="457" y="421"/>
                  </a:cubicBezTo>
                  <a:cubicBezTo>
                    <a:pt x="379" y="449"/>
                    <a:pt x="351" y="428"/>
                    <a:pt x="276" y="403"/>
                  </a:cubicBezTo>
                  <a:cubicBezTo>
                    <a:pt x="264" y="415"/>
                    <a:pt x="256" y="440"/>
                    <a:pt x="239" y="440"/>
                  </a:cubicBezTo>
                  <a:cubicBezTo>
                    <a:pt x="201" y="440"/>
                    <a:pt x="167" y="412"/>
                    <a:pt x="130" y="403"/>
                  </a:cubicBezTo>
                  <a:cubicBezTo>
                    <a:pt x="106" y="397"/>
                    <a:pt x="81" y="391"/>
                    <a:pt x="57" y="385"/>
                  </a:cubicBezTo>
                  <a:cubicBezTo>
                    <a:pt x="33" y="311"/>
                    <a:pt x="0" y="285"/>
                    <a:pt x="39" y="221"/>
                  </a:cubicBezTo>
                  <a:cubicBezTo>
                    <a:pt x="48" y="206"/>
                    <a:pt x="64" y="197"/>
                    <a:pt x="76" y="185"/>
                  </a:cubicBezTo>
                  <a:cubicBezTo>
                    <a:pt x="70" y="161"/>
                    <a:pt x="49" y="136"/>
                    <a:pt x="57" y="112"/>
                  </a:cubicBezTo>
                  <a:cubicBezTo>
                    <a:pt x="78" y="50"/>
                    <a:pt x="242" y="97"/>
                    <a:pt x="185" y="40"/>
                  </a:cubicBezTo>
                  <a:close/>
                </a:path>
              </a:pathLst>
            </a:custGeom>
            <a:blipFill>
              <a:blip r:embed="rId23"/>
              <a:srcRect/>
              <a:stretch>
                <a:fillRect/>
              </a:stretch>
            </a:blip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1" name="Rectangle 1012" descr="Vihreä marmori"/>
            <xdr:cNvSpPr>
              <a:spLocks/>
            </xdr:cNvSpPr>
          </xdr:nvSpPr>
          <xdr:spPr>
            <a:xfrm>
              <a:off x="1152" y="5184"/>
              <a:ext cx="1632" cy="192"/>
            </a:xfrm>
            <a:prstGeom prst="rect">
              <a:avLst/>
            </a:prstGeom>
            <a:blipFill>
              <a:blip r:embed="rId24"/>
              <a:srcRect/>
              <a:stretch>
                <a:fillRect/>
              </a:stretch>
            </a:blip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2" name="Line 1013"/>
            <xdr:cNvSpPr>
              <a:spLocks/>
            </xdr:cNvSpPr>
          </xdr:nvSpPr>
          <xdr:spPr>
            <a:xfrm flipH="1">
              <a:off x="1200" y="5088"/>
              <a:ext cx="192" cy="384"/>
            </a:xfrm>
            <a:prstGeom prst="line">
              <a:avLst/>
            </a:prstGeom>
            <a:noFill/>
            <a:ln w="2857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3" name="Line 1014"/>
            <xdr:cNvSpPr>
              <a:spLocks/>
            </xdr:cNvSpPr>
          </xdr:nvSpPr>
          <xdr:spPr>
            <a:xfrm flipH="1">
              <a:off x="1536" y="5088"/>
              <a:ext cx="240" cy="432"/>
            </a:xfrm>
            <a:prstGeom prst="line">
              <a:avLst/>
            </a:prstGeom>
            <a:noFill/>
            <a:ln w="2857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4" name="Line 1015"/>
            <xdr:cNvSpPr>
              <a:spLocks/>
            </xdr:cNvSpPr>
          </xdr:nvSpPr>
          <xdr:spPr>
            <a:xfrm flipH="1">
              <a:off x="1920" y="5088"/>
              <a:ext cx="192" cy="384"/>
            </a:xfrm>
            <a:prstGeom prst="line">
              <a:avLst/>
            </a:prstGeom>
            <a:noFill/>
            <a:ln w="2857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5" name="Line 1016"/>
            <xdr:cNvSpPr>
              <a:spLocks/>
            </xdr:cNvSpPr>
          </xdr:nvSpPr>
          <xdr:spPr>
            <a:xfrm flipH="1">
              <a:off x="2208" y="5088"/>
              <a:ext cx="240" cy="384"/>
            </a:xfrm>
            <a:prstGeom prst="line">
              <a:avLst/>
            </a:prstGeom>
            <a:noFill/>
            <a:ln w="2857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6" name="Line 1017"/>
            <xdr:cNvSpPr>
              <a:spLocks/>
            </xdr:cNvSpPr>
          </xdr:nvSpPr>
          <xdr:spPr>
            <a:xfrm flipH="1">
              <a:off x="2544" y="5088"/>
              <a:ext cx="192" cy="384"/>
            </a:xfrm>
            <a:prstGeom prst="line">
              <a:avLst/>
            </a:prstGeom>
            <a:noFill/>
            <a:ln w="2857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57" name="Group 1018"/>
          <xdr:cNvGrpSpPr>
            <a:grpSpLocks/>
          </xdr:cNvGrpSpPr>
        </xdr:nvGrpSpPr>
        <xdr:grpSpPr>
          <a:xfrm rot="20915493">
            <a:off x="912" y="5165"/>
            <a:ext cx="761" cy="163"/>
            <a:chOff x="1015" y="5069"/>
            <a:chExt cx="1876" cy="451"/>
          </a:xfrm>
          <a:solidFill>
            <a:srgbClr val="FFFFFF"/>
          </a:solidFill>
        </xdr:grpSpPr>
        <xdr:sp>
          <xdr:nvSpPr>
            <xdr:cNvPr id="58" name="Freeform 1019" descr="Vihreä marmori"/>
            <xdr:cNvSpPr>
              <a:spLocks/>
            </xdr:cNvSpPr>
          </xdr:nvSpPr>
          <xdr:spPr>
            <a:xfrm>
              <a:off x="1015" y="5069"/>
              <a:ext cx="1876" cy="449"/>
            </a:xfrm>
            <a:custGeom>
              <a:pathLst>
                <a:path h="449" w="1876">
                  <a:moveTo>
                    <a:pt x="185" y="40"/>
                  </a:moveTo>
                  <a:cubicBezTo>
                    <a:pt x="233" y="34"/>
                    <a:pt x="281" y="18"/>
                    <a:pt x="330" y="21"/>
                  </a:cubicBezTo>
                  <a:cubicBezTo>
                    <a:pt x="368" y="24"/>
                    <a:pt x="439" y="58"/>
                    <a:pt x="439" y="58"/>
                  </a:cubicBezTo>
                  <a:cubicBezTo>
                    <a:pt x="639" y="9"/>
                    <a:pt x="400" y="49"/>
                    <a:pt x="566" y="76"/>
                  </a:cubicBezTo>
                  <a:cubicBezTo>
                    <a:pt x="588" y="80"/>
                    <a:pt x="688" y="24"/>
                    <a:pt x="694" y="21"/>
                  </a:cubicBezTo>
                  <a:cubicBezTo>
                    <a:pt x="885" y="71"/>
                    <a:pt x="646" y="21"/>
                    <a:pt x="839" y="21"/>
                  </a:cubicBezTo>
                  <a:cubicBezTo>
                    <a:pt x="864" y="21"/>
                    <a:pt x="888" y="34"/>
                    <a:pt x="912" y="40"/>
                  </a:cubicBezTo>
                  <a:cubicBezTo>
                    <a:pt x="1035" y="14"/>
                    <a:pt x="1027" y="34"/>
                    <a:pt x="1148" y="58"/>
                  </a:cubicBezTo>
                  <a:cubicBezTo>
                    <a:pt x="1224" y="33"/>
                    <a:pt x="1251" y="13"/>
                    <a:pt x="1330" y="40"/>
                  </a:cubicBezTo>
                  <a:cubicBezTo>
                    <a:pt x="1348" y="28"/>
                    <a:pt x="1363" y="7"/>
                    <a:pt x="1384" y="3"/>
                  </a:cubicBezTo>
                  <a:cubicBezTo>
                    <a:pt x="1403" y="0"/>
                    <a:pt x="1420" y="21"/>
                    <a:pt x="1439" y="21"/>
                  </a:cubicBezTo>
                  <a:cubicBezTo>
                    <a:pt x="1458" y="21"/>
                    <a:pt x="1475" y="9"/>
                    <a:pt x="1493" y="3"/>
                  </a:cubicBezTo>
                  <a:cubicBezTo>
                    <a:pt x="1569" y="79"/>
                    <a:pt x="1486" y="20"/>
                    <a:pt x="1584" y="3"/>
                  </a:cubicBezTo>
                  <a:cubicBezTo>
                    <a:pt x="1603" y="0"/>
                    <a:pt x="1621" y="15"/>
                    <a:pt x="1639" y="21"/>
                  </a:cubicBezTo>
                  <a:cubicBezTo>
                    <a:pt x="1718" y="141"/>
                    <a:pt x="1633" y="51"/>
                    <a:pt x="1712" y="40"/>
                  </a:cubicBezTo>
                  <a:cubicBezTo>
                    <a:pt x="1742" y="36"/>
                    <a:pt x="1772" y="52"/>
                    <a:pt x="1802" y="58"/>
                  </a:cubicBezTo>
                  <a:cubicBezTo>
                    <a:pt x="1826" y="81"/>
                    <a:pt x="1864" y="107"/>
                    <a:pt x="1857" y="149"/>
                  </a:cubicBezTo>
                  <a:cubicBezTo>
                    <a:pt x="1853" y="170"/>
                    <a:pt x="1833" y="185"/>
                    <a:pt x="1821" y="203"/>
                  </a:cubicBezTo>
                  <a:cubicBezTo>
                    <a:pt x="1833" y="215"/>
                    <a:pt x="1855" y="223"/>
                    <a:pt x="1857" y="240"/>
                  </a:cubicBezTo>
                  <a:cubicBezTo>
                    <a:pt x="1876" y="374"/>
                    <a:pt x="1749" y="385"/>
                    <a:pt x="1657" y="403"/>
                  </a:cubicBezTo>
                  <a:cubicBezTo>
                    <a:pt x="1627" y="391"/>
                    <a:pt x="1598" y="371"/>
                    <a:pt x="1566" y="367"/>
                  </a:cubicBezTo>
                  <a:cubicBezTo>
                    <a:pt x="1547" y="365"/>
                    <a:pt x="1531" y="385"/>
                    <a:pt x="1512" y="385"/>
                  </a:cubicBezTo>
                  <a:cubicBezTo>
                    <a:pt x="1493" y="385"/>
                    <a:pt x="1475" y="373"/>
                    <a:pt x="1457" y="367"/>
                  </a:cubicBezTo>
                  <a:cubicBezTo>
                    <a:pt x="1371" y="396"/>
                    <a:pt x="1290" y="414"/>
                    <a:pt x="1203" y="385"/>
                  </a:cubicBezTo>
                  <a:cubicBezTo>
                    <a:pt x="1096" y="420"/>
                    <a:pt x="984" y="439"/>
                    <a:pt x="875" y="403"/>
                  </a:cubicBezTo>
                  <a:cubicBezTo>
                    <a:pt x="863" y="415"/>
                    <a:pt x="856" y="437"/>
                    <a:pt x="839" y="440"/>
                  </a:cubicBezTo>
                  <a:cubicBezTo>
                    <a:pt x="826" y="442"/>
                    <a:pt x="731" y="409"/>
                    <a:pt x="712" y="403"/>
                  </a:cubicBezTo>
                  <a:cubicBezTo>
                    <a:pt x="604" y="438"/>
                    <a:pt x="572" y="441"/>
                    <a:pt x="457" y="421"/>
                  </a:cubicBezTo>
                  <a:cubicBezTo>
                    <a:pt x="379" y="449"/>
                    <a:pt x="351" y="428"/>
                    <a:pt x="276" y="403"/>
                  </a:cubicBezTo>
                  <a:cubicBezTo>
                    <a:pt x="264" y="415"/>
                    <a:pt x="256" y="440"/>
                    <a:pt x="239" y="440"/>
                  </a:cubicBezTo>
                  <a:cubicBezTo>
                    <a:pt x="201" y="440"/>
                    <a:pt x="167" y="412"/>
                    <a:pt x="130" y="403"/>
                  </a:cubicBezTo>
                  <a:cubicBezTo>
                    <a:pt x="106" y="397"/>
                    <a:pt x="81" y="391"/>
                    <a:pt x="57" y="385"/>
                  </a:cubicBezTo>
                  <a:cubicBezTo>
                    <a:pt x="33" y="311"/>
                    <a:pt x="0" y="285"/>
                    <a:pt x="39" y="221"/>
                  </a:cubicBezTo>
                  <a:cubicBezTo>
                    <a:pt x="48" y="206"/>
                    <a:pt x="64" y="197"/>
                    <a:pt x="76" y="185"/>
                  </a:cubicBezTo>
                  <a:cubicBezTo>
                    <a:pt x="70" y="161"/>
                    <a:pt x="49" y="136"/>
                    <a:pt x="57" y="112"/>
                  </a:cubicBezTo>
                  <a:cubicBezTo>
                    <a:pt x="78" y="50"/>
                    <a:pt x="242" y="97"/>
                    <a:pt x="185" y="40"/>
                  </a:cubicBezTo>
                  <a:close/>
                </a:path>
              </a:pathLst>
            </a:custGeom>
            <a:blipFill>
              <a:blip r:embed="rId25"/>
              <a:srcRect/>
              <a:stretch>
                <a:fillRect/>
              </a:stretch>
            </a:blip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9" name="Rectangle 1020" descr="Vihreä marmori"/>
            <xdr:cNvSpPr>
              <a:spLocks/>
            </xdr:cNvSpPr>
          </xdr:nvSpPr>
          <xdr:spPr>
            <a:xfrm>
              <a:off x="1152" y="5184"/>
              <a:ext cx="1632" cy="192"/>
            </a:xfrm>
            <a:prstGeom prst="rect">
              <a:avLst/>
            </a:prstGeom>
            <a:blipFill>
              <a:blip r:embed="rId26"/>
              <a:srcRect/>
              <a:stretch>
                <a:fillRect/>
              </a:stretch>
            </a:blip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0" name="Line 1021"/>
            <xdr:cNvSpPr>
              <a:spLocks/>
            </xdr:cNvSpPr>
          </xdr:nvSpPr>
          <xdr:spPr>
            <a:xfrm flipH="1">
              <a:off x="1200" y="5088"/>
              <a:ext cx="192" cy="384"/>
            </a:xfrm>
            <a:prstGeom prst="line">
              <a:avLst/>
            </a:prstGeom>
            <a:noFill/>
            <a:ln w="2857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1" name="Line 1022"/>
            <xdr:cNvSpPr>
              <a:spLocks/>
            </xdr:cNvSpPr>
          </xdr:nvSpPr>
          <xdr:spPr>
            <a:xfrm flipH="1">
              <a:off x="1536" y="5088"/>
              <a:ext cx="240" cy="432"/>
            </a:xfrm>
            <a:prstGeom prst="line">
              <a:avLst/>
            </a:prstGeom>
            <a:noFill/>
            <a:ln w="2857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2" name="Line 1023"/>
            <xdr:cNvSpPr>
              <a:spLocks/>
            </xdr:cNvSpPr>
          </xdr:nvSpPr>
          <xdr:spPr>
            <a:xfrm flipH="1">
              <a:off x="1920" y="5088"/>
              <a:ext cx="192" cy="384"/>
            </a:xfrm>
            <a:prstGeom prst="line">
              <a:avLst/>
            </a:prstGeom>
            <a:noFill/>
            <a:ln w="2857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3" name="Line 1024"/>
            <xdr:cNvSpPr>
              <a:spLocks/>
            </xdr:cNvSpPr>
          </xdr:nvSpPr>
          <xdr:spPr>
            <a:xfrm flipH="1">
              <a:off x="2208" y="5088"/>
              <a:ext cx="240" cy="384"/>
            </a:xfrm>
            <a:prstGeom prst="line">
              <a:avLst/>
            </a:prstGeom>
            <a:noFill/>
            <a:ln w="2857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4" name="Line 1025"/>
            <xdr:cNvSpPr>
              <a:spLocks/>
            </xdr:cNvSpPr>
          </xdr:nvSpPr>
          <xdr:spPr>
            <a:xfrm flipH="1">
              <a:off x="2544" y="5088"/>
              <a:ext cx="192" cy="384"/>
            </a:xfrm>
            <a:prstGeom prst="line">
              <a:avLst/>
            </a:prstGeom>
            <a:noFill/>
            <a:ln w="2857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65" name="Group 1026"/>
          <xdr:cNvGrpSpPr>
            <a:grpSpLocks/>
          </xdr:cNvGrpSpPr>
        </xdr:nvGrpSpPr>
        <xdr:grpSpPr>
          <a:xfrm rot="1325642">
            <a:off x="1007" y="5260"/>
            <a:ext cx="768" cy="163"/>
            <a:chOff x="1015" y="5069"/>
            <a:chExt cx="1876" cy="451"/>
          </a:xfrm>
          <a:solidFill>
            <a:srgbClr val="FFFFFF"/>
          </a:solidFill>
        </xdr:grpSpPr>
        <xdr:sp>
          <xdr:nvSpPr>
            <xdr:cNvPr id="66" name="Freeform 1027" descr="Vihreä marmori"/>
            <xdr:cNvSpPr>
              <a:spLocks/>
            </xdr:cNvSpPr>
          </xdr:nvSpPr>
          <xdr:spPr>
            <a:xfrm>
              <a:off x="1015" y="5069"/>
              <a:ext cx="1876" cy="449"/>
            </a:xfrm>
            <a:custGeom>
              <a:pathLst>
                <a:path h="449" w="1876">
                  <a:moveTo>
                    <a:pt x="185" y="40"/>
                  </a:moveTo>
                  <a:cubicBezTo>
                    <a:pt x="233" y="34"/>
                    <a:pt x="281" y="18"/>
                    <a:pt x="330" y="21"/>
                  </a:cubicBezTo>
                  <a:cubicBezTo>
                    <a:pt x="368" y="24"/>
                    <a:pt x="439" y="58"/>
                    <a:pt x="439" y="58"/>
                  </a:cubicBezTo>
                  <a:cubicBezTo>
                    <a:pt x="639" y="9"/>
                    <a:pt x="400" y="49"/>
                    <a:pt x="566" y="76"/>
                  </a:cubicBezTo>
                  <a:cubicBezTo>
                    <a:pt x="588" y="80"/>
                    <a:pt x="688" y="24"/>
                    <a:pt x="694" y="21"/>
                  </a:cubicBezTo>
                  <a:cubicBezTo>
                    <a:pt x="885" y="71"/>
                    <a:pt x="646" y="21"/>
                    <a:pt x="839" y="21"/>
                  </a:cubicBezTo>
                  <a:cubicBezTo>
                    <a:pt x="864" y="21"/>
                    <a:pt x="888" y="34"/>
                    <a:pt x="912" y="40"/>
                  </a:cubicBezTo>
                  <a:cubicBezTo>
                    <a:pt x="1035" y="14"/>
                    <a:pt x="1027" y="34"/>
                    <a:pt x="1148" y="58"/>
                  </a:cubicBezTo>
                  <a:cubicBezTo>
                    <a:pt x="1224" y="33"/>
                    <a:pt x="1251" y="13"/>
                    <a:pt x="1330" y="40"/>
                  </a:cubicBezTo>
                  <a:cubicBezTo>
                    <a:pt x="1348" y="28"/>
                    <a:pt x="1363" y="7"/>
                    <a:pt x="1384" y="3"/>
                  </a:cubicBezTo>
                  <a:cubicBezTo>
                    <a:pt x="1403" y="0"/>
                    <a:pt x="1420" y="21"/>
                    <a:pt x="1439" y="21"/>
                  </a:cubicBezTo>
                  <a:cubicBezTo>
                    <a:pt x="1458" y="21"/>
                    <a:pt x="1475" y="9"/>
                    <a:pt x="1493" y="3"/>
                  </a:cubicBezTo>
                  <a:cubicBezTo>
                    <a:pt x="1569" y="79"/>
                    <a:pt x="1486" y="20"/>
                    <a:pt x="1584" y="3"/>
                  </a:cubicBezTo>
                  <a:cubicBezTo>
                    <a:pt x="1603" y="0"/>
                    <a:pt x="1621" y="15"/>
                    <a:pt x="1639" y="21"/>
                  </a:cubicBezTo>
                  <a:cubicBezTo>
                    <a:pt x="1718" y="141"/>
                    <a:pt x="1633" y="51"/>
                    <a:pt x="1712" y="40"/>
                  </a:cubicBezTo>
                  <a:cubicBezTo>
                    <a:pt x="1742" y="36"/>
                    <a:pt x="1772" y="52"/>
                    <a:pt x="1802" y="58"/>
                  </a:cubicBezTo>
                  <a:cubicBezTo>
                    <a:pt x="1826" y="81"/>
                    <a:pt x="1864" y="107"/>
                    <a:pt x="1857" y="149"/>
                  </a:cubicBezTo>
                  <a:cubicBezTo>
                    <a:pt x="1853" y="170"/>
                    <a:pt x="1833" y="185"/>
                    <a:pt x="1821" y="203"/>
                  </a:cubicBezTo>
                  <a:cubicBezTo>
                    <a:pt x="1833" y="215"/>
                    <a:pt x="1855" y="223"/>
                    <a:pt x="1857" y="240"/>
                  </a:cubicBezTo>
                  <a:cubicBezTo>
                    <a:pt x="1876" y="374"/>
                    <a:pt x="1749" y="385"/>
                    <a:pt x="1657" y="403"/>
                  </a:cubicBezTo>
                  <a:cubicBezTo>
                    <a:pt x="1627" y="391"/>
                    <a:pt x="1598" y="371"/>
                    <a:pt x="1566" y="367"/>
                  </a:cubicBezTo>
                  <a:cubicBezTo>
                    <a:pt x="1547" y="365"/>
                    <a:pt x="1531" y="385"/>
                    <a:pt x="1512" y="385"/>
                  </a:cubicBezTo>
                  <a:cubicBezTo>
                    <a:pt x="1493" y="385"/>
                    <a:pt x="1475" y="373"/>
                    <a:pt x="1457" y="367"/>
                  </a:cubicBezTo>
                  <a:cubicBezTo>
                    <a:pt x="1371" y="396"/>
                    <a:pt x="1290" y="414"/>
                    <a:pt x="1203" y="385"/>
                  </a:cubicBezTo>
                  <a:cubicBezTo>
                    <a:pt x="1096" y="420"/>
                    <a:pt x="984" y="439"/>
                    <a:pt x="875" y="403"/>
                  </a:cubicBezTo>
                  <a:cubicBezTo>
                    <a:pt x="863" y="415"/>
                    <a:pt x="856" y="437"/>
                    <a:pt x="839" y="440"/>
                  </a:cubicBezTo>
                  <a:cubicBezTo>
                    <a:pt x="826" y="442"/>
                    <a:pt x="731" y="409"/>
                    <a:pt x="712" y="403"/>
                  </a:cubicBezTo>
                  <a:cubicBezTo>
                    <a:pt x="604" y="438"/>
                    <a:pt x="572" y="441"/>
                    <a:pt x="457" y="421"/>
                  </a:cubicBezTo>
                  <a:cubicBezTo>
                    <a:pt x="379" y="449"/>
                    <a:pt x="351" y="428"/>
                    <a:pt x="276" y="403"/>
                  </a:cubicBezTo>
                  <a:cubicBezTo>
                    <a:pt x="264" y="415"/>
                    <a:pt x="256" y="440"/>
                    <a:pt x="239" y="440"/>
                  </a:cubicBezTo>
                  <a:cubicBezTo>
                    <a:pt x="201" y="440"/>
                    <a:pt x="167" y="412"/>
                    <a:pt x="130" y="403"/>
                  </a:cubicBezTo>
                  <a:cubicBezTo>
                    <a:pt x="106" y="397"/>
                    <a:pt x="81" y="391"/>
                    <a:pt x="57" y="385"/>
                  </a:cubicBezTo>
                  <a:cubicBezTo>
                    <a:pt x="33" y="311"/>
                    <a:pt x="0" y="285"/>
                    <a:pt x="39" y="221"/>
                  </a:cubicBezTo>
                  <a:cubicBezTo>
                    <a:pt x="48" y="206"/>
                    <a:pt x="64" y="197"/>
                    <a:pt x="76" y="185"/>
                  </a:cubicBezTo>
                  <a:cubicBezTo>
                    <a:pt x="70" y="161"/>
                    <a:pt x="49" y="136"/>
                    <a:pt x="57" y="112"/>
                  </a:cubicBezTo>
                  <a:cubicBezTo>
                    <a:pt x="78" y="50"/>
                    <a:pt x="242" y="97"/>
                    <a:pt x="185" y="40"/>
                  </a:cubicBezTo>
                  <a:close/>
                </a:path>
              </a:pathLst>
            </a:custGeom>
            <a:blipFill>
              <a:blip r:embed="rId27"/>
              <a:srcRect/>
              <a:stretch>
                <a:fillRect/>
              </a:stretch>
            </a:blip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7" name="Rectangle 1028" descr="Vihreä marmori"/>
            <xdr:cNvSpPr>
              <a:spLocks/>
            </xdr:cNvSpPr>
          </xdr:nvSpPr>
          <xdr:spPr>
            <a:xfrm>
              <a:off x="1152" y="5184"/>
              <a:ext cx="1632" cy="192"/>
            </a:xfrm>
            <a:prstGeom prst="rect">
              <a:avLst/>
            </a:prstGeom>
            <a:blipFill>
              <a:blip r:embed="rId28"/>
              <a:srcRect/>
              <a:stretch>
                <a:fillRect/>
              </a:stretch>
            </a:blip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8" name="Line 1029"/>
            <xdr:cNvSpPr>
              <a:spLocks/>
            </xdr:cNvSpPr>
          </xdr:nvSpPr>
          <xdr:spPr>
            <a:xfrm flipH="1">
              <a:off x="1200" y="5088"/>
              <a:ext cx="192" cy="384"/>
            </a:xfrm>
            <a:prstGeom prst="line">
              <a:avLst/>
            </a:prstGeom>
            <a:noFill/>
            <a:ln w="2857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9" name="Line 1030"/>
            <xdr:cNvSpPr>
              <a:spLocks/>
            </xdr:cNvSpPr>
          </xdr:nvSpPr>
          <xdr:spPr>
            <a:xfrm flipH="1">
              <a:off x="1536" y="5088"/>
              <a:ext cx="240" cy="432"/>
            </a:xfrm>
            <a:prstGeom prst="line">
              <a:avLst/>
            </a:prstGeom>
            <a:noFill/>
            <a:ln w="2857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0" name="Line 1031"/>
            <xdr:cNvSpPr>
              <a:spLocks/>
            </xdr:cNvSpPr>
          </xdr:nvSpPr>
          <xdr:spPr>
            <a:xfrm flipH="1">
              <a:off x="1920" y="5088"/>
              <a:ext cx="192" cy="384"/>
            </a:xfrm>
            <a:prstGeom prst="line">
              <a:avLst/>
            </a:prstGeom>
            <a:noFill/>
            <a:ln w="2857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1" name="Line 1032"/>
            <xdr:cNvSpPr>
              <a:spLocks/>
            </xdr:cNvSpPr>
          </xdr:nvSpPr>
          <xdr:spPr>
            <a:xfrm flipH="1">
              <a:off x="2208" y="5088"/>
              <a:ext cx="240" cy="384"/>
            </a:xfrm>
            <a:prstGeom prst="line">
              <a:avLst/>
            </a:prstGeom>
            <a:noFill/>
            <a:ln w="2857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2" name="Line 1033"/>
            <xdr:cNvSpPr>
              <a:spLocks/>
            </xdr:cNvSpPr>
          </xdr:nvSpPr>
          <xdr:spPr>
            <a:xfrm flipH="1">
              <a:off x="2544" y="5088"/>
              <a:ext cx="192" cy="384"/>
            </a:xfrm>
            <a:prstGeom prst="line">
              <a:avLst/>
            </a:prstGeom>
            <a:noFill/>
            <a:ln w="2857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16</xdr:row>
      <xdr:rowOff>66675</xdr:rowOff>
    </xdr:from>
    <xdr:to>
      <xdr:col>6</xdr:col>
      <xdr:colOff>190500</xdr:colOff>
      <xdr:row>18</xdr:row>
      <xdr:rowOff>161925</xdr:rowOff>
    </xdr:to>
    <xdr:sp>
      <xdr:nvSpPr>
        <xdr:cNvPr id="1" name="AutoShape 2"/>
        <xdr:cNvSpPr>
          <a:spLocks/>
        </xdr:cNvSpPr>
      </xdr:nvSpPr>
      <xdr:spPr>
        <a:xfrm>
          <a:off x="8915400" y="4076700"/>
          <a:ext cx="133350" cy="6286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</xdr:colOff>
      <xdr:row>53</xdr:row>
      <xdr:rowOff>152400</xdr:rowOff>
    </xdr:from>
    <xdr:to>
      <xdr:col>6</xdr:col>
      <xdr:colOff>895350</xdr:colOff>
      <xdr:row>87</xdr:row>
      <xdr:rowOff>104775</xdr:rowOff>
    </xdr:to>
    <xdr:graphicFrame>
      <xdr:nvGraphicFramePr>
        <xdr:cNvPr id="2" name="Chart 3"/>
        <xdr:cNvGraphicFramePr/>
      </xdr:nvGraphicFramePr>
      <xdr:xfrm>
        <a:off x="238125" y="13173075"/>
        <a:ext cx="9515475" cy="545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609600</xdr:colOff>
      <xdr:row>18</xdr:row>
      <xdr:rowOff>38100</xdr:rowOff>
    </xdr:from>
    <xdr:to>
      <xdr:col>7</xdr:col>
      <xdr:colOff>1476375</xdr:colOff>
      <xdr:row>22</xdr:row>
      <xdr:rowOff>19050</xdr:rowOff>
    </xdr:to>
    <xdr:sp>
      <xdr:nvSpPr>
        <xdr:cNvPr id="3" name="AutoShape 13"/>
        <xdr:cNvSpPr>
          <a:spLocks/>
        </xdr:cNvSpPr>
      </xdr:nvSpPr>
      <xdr:spPr>
        <a:xfrm>
          <a:off x="9467850" y="4581525"/>
          <a:ext cx="2809875" cy="1047750"/>
        </a:xfrm>
        <a:prstGeom prst="cloudCallout">
          <a:avLst>
            <a:gd name="adj1" fmla="val -67625"/>
            <a:gd name="adj2" fmla="val 37273"/>
          </a:avLst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900" b="0" i="0" u="none" baseline="0">
              <a:solidFill>
                <a:srgbClr val="FFFF00"/>
              </a:solidFill>
            </a:rPr>
            <a:t>Terminaalihaketusketjulla hakkuutähteen varastointiaika on välivarastolla ja terminaalilla varastoinnin summa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723900</xdr:colOff>
      <xdr:row>56</xdr:row>
      <xdr:rowOff>0</xdr:rowOff>
    </xdr:from>
    <xdr:to>
      <xdr:col>9</xdr:col>
      <xdr:colOff>180975</xdr:colOff>
      <xdr:row>58</xdr:row>
      <xdr:rowOff>38100</xdr:rowOff>
    </xdr:to>
    <xdr:sp>
      <xdr:nvSpPr>
        <xdr:cNvPr id="1" name="AutoShape 1025"/>
        <xdr:cNvSpPr>
          <a:spLocks/>
        </xdr:cNvSpPr>
      </xdr:nvSpPr>
      <xdr:spPr>
        <a:xfrm>
          <a:off x="9229725" y="7324725"/>
          <a:ext cx="1876425" cy="504825"/>
        </a:xfrm>
        <a:prstGeom prst="rightArrow">
          <a:avLst/>
        </a:prstGeom>
        <a:solidFill>
          <a:srgbClr val="99CC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J19"/>
  <sheetViews>
    <sheetView tabSelected="1" zoomScalePageLayoutView="0" workbookViewId="0" topLeftCell="A1">
      <selection activeCell="J27" sqref="J27"/>
    </sheetView>
  </sheetViews>
  <sheetFormatPr defaultColWidth="9.140625" defaultRowHeight="12.75"/>
  <cols>
    <col min="1" max="16384" width="9.140625" style="5" customWidth="1"/>
  </cols>
  <sheetData>
    <row r="1" s="217" customFormat="1" ht="12.75"/>
    <row r="2" s="218" customFormat="1" ht="12.75"/>
    <row r="3" s="219" customFormat="1" ht="12.75"/>
    <row r="5" ht="40.5">
      <c r="B5" s="236" t="s">
        <v>187</v>
      </c>
    </row>
    <row r="7" ht="22.5">
      <c r="H7" s="220" t="s">
        <v>188</v>
      </c>
    </row>
    <row r="8" ht="19.5">
      <c r="G8" s="100" t="s">
        <v>220</v>
      </c>
    </row>
    <row r="15" spans="6:10" ht="15">
      <c r="F15" s="237" t="s">
        <v>189</v>
      </c>
      <c r="G15" s="103"/>
      <c r="H15" s="103"/>
      <c r="I15" s="103"/>
      <c r="J15" s="103"/>
    </row>
    <row r="16" spans="6:10" ht="15">
      <c r="F16" s="103" t="s">
        <v>246</v>
      </c>
      <c r="G16" s="103"/>
      <c r="H16" s="103"/>
      <c r="I16" s="103"/>
      <c r="J16" s="103"/>
    </row>
    <row r="17" spans="6:10" ht="15">
      <c r="F17" s="103" t="s">
        <v>254</v>
      </c>
      <c r="G17" s="103"/>
      <c r="H17" s="103"/>
      <c r="I17" s="103"/>
      <c r="J17" s="103"/>
    </row>
    <row r="18" ht="12.75">
      <c r="F18" s="5" t="s">
        <v>190</v>
      </c>
    </row>
    <row r="19" ht="12.75">
      <c r="F19" s="5" t="s">
        <v>191</v>
      </c>
    </row>
    <row r="22" s="219" customFormat="1" ht="12.75"/>
    <row r="23" s="218" customFormat="1" ht="12.75"/>
    <row r="24" s="217" customFormat="1" ht="12.75"/>
  </sheetData>
  <sheetProtection sheet="1" objects="1" scenarios="1"/>
  <printOptions/>
  <pageMargins left="0.75" right="0.75" top="1" bottom="1" header="0.4921259845" footer="0.4921259845"/>
  <pageSetup horizontalDpi="600" verticalDpi="600" orientation="portrait" paperSize="9" r:id="rId4"/>
  <drawing r:id="rId3"/>
  <legacyDrawing r:id="rId2"/>
  <oleObjects>
    <oleObject progId="Word.Document.8" shapeId="177559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CU3149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2.00390625" style="0" customWidth="1"/>
    <col min="2" max="2" width="35.28125" style="0" customWidth="1"/>
    <col min="3" max="3" width="27.00390625" style="0" customWidth="1"/>
    <col min="4" max="4" width="25.28125" style="0" customWidth="1"/>
    <col min="5" max="5" width="20.57421875" style="0" customWidth="1"/>
    <col min="6" max="6" width="22.7109375" style="0" customWidth="1"/>
    <col min="7" max="7" width="29.140625" style="0" customWidth="1"/>
    <col min="8" max="8" width="22.421875" style="0" customWidth="1"/>
    <col min="9" max="9" width="18.7109375" style="4" customWidth="1"/>
    <col min="10" max="10" width="3.57421875" style="4" customWidth="1"/>
    <col min="11" max="11" width="19.28125" style="5" customWidth="1"/>
    <col min="12" max="12" width="19.00390625" style="5" customWidth="1"/>
    <col min="13" max="13" width="17.7109375" style="5" customWidth="1"/>
    <col min="14" max="14" width="15.421875" style="5" customWidth="1"/>
    <col min="15" max="15" width="18.28125" style="5" customWidth="1"/>
    <col min="16" max="16" width="17.7109375" style="5" customWidth="1"/>
    <col min="17" max="18" width="9.140625" style="5" customWidth="1"/>
    <col min="19" max="24" width="0" style="5" hidden="1" customWidth="1"/>
    <col min="25" max="99" width="9.140625" style="5" customWidth="1"/>
  </cols>
  <sheetData>
    <row r="1" spans="2:10" s="293" customFormat="1" ht="15.75">
      <c r="B1" s="294"/>
      <c r="I1" s="295"/>
      <c r="J1" s="295"/>
    </row>
    <row r="2" spans="2:10" s="297" customFormat="1" ht="29.25">
      <c r="B2" s="298" t="s">
        <v>171</v>
      </c>
      <c r="I2" s="299"/>
      <c r="J2" s="299"/>
    </row>
    <row r="3" spans="2:10" s="293" customFormat="1" ht="15.75">
      <c r="B3" s="296"/>
      <c r="I3" s="295"/>
      <c r="J3" s="295"/>
    </row>
    <row r="4" spans="1:8" ht="15.75">
      <c r="A4" s="5"/>
      <c r="B4" s="7"/>
      <c r="C4" s="5"/>
      <c r="D4" s="5"/>
      <c r="E4" s="5"/>
      <c r="F4" s="5"/>
      <c r="G4" s="5"/>
      <c r="H4" s="5"/>
    </row>
    <row r="5" spans="1:20" ht="18">
      <c r="A5" s="5"/>
      <c r="B5" s="114"/>
      <c r="C5" s="114"/>
      <c r="D5" s="115" t="s">
        <v>153</v>
      </c>
      <c r="E5" s="115" t="s">
        <v>154</v>
      </c>
      <c r="F5" s="115" t="s">
        <v>155</v>
      </c>
      <c r="G5" s="115" t="s">
        <v>156</v>
      </c>
      <c r="H5" s="115" t="s">
        <v>157</v>
      </c>
      <c r="I5" s="115" t="s">
        <v>158</v>
      </c>
      <c r="J5" s="105"/>
      <c r="K5" s="118" t="s">
        <v>159</v>
      </c>
      <c r="S5" s="5" t="s">
        <v>43</v>
      </c>
      <c r="T5" s="16">
        <f>(E6+H6)*184</f>
        <v>55200</v>
      </c>
    </row>
    <row r="6" spans="1:20" ht="20.25" thickBot="1">
      <c r="A6" s="5"/>
      <c r="B6" s="116" t="s">
        <v>10</v>
      </c>
      <c r="C6" s="117"/>
      <c r="D6" s="287">
        <v>20</v>
      </c>
      <c r="E6" s="290">
        <v>180</v>
      </c>
      <c r="F6" s="291">
        <v>20</v>
      </c>
      <c r="G6" s="291">
        <v>30</v>
      </c>
      <c r="H6" s="291">
        <v>120</v>
      </c>
      <c r="I6" s="291">
        <v>80</v>
      </c>
      <c r="J6" s="106"/>
      <c r="K6" s="282">
        <f>D6+E6+F6+G6+H6+I6</f>
        <v>450</v>
      </c>
      <c r="S6" s="5" t="s">
        <v>42</v>
      </c>
      <c r="T6" s="5">
        <f>(D6+G6)*94</f>
        <v>4700</v>
      </c>
    </row>
    <row r="7" spans="1:20" ht="21" thickBot="1" thickTop="1">
      <c r="A7" s="5"/>
      <c r="B7" s="119" t="s">
        <v>7</v>
      </c>
      <c r="C7" s="120"/>
      <c r="D7" s="288">
        <v>2</v>
      </c>
      <c r="E7" s="106"/>
      <c r="F7" s="106"/>
      <c r="G7" s="106"/>
      <c r="H7" s="107"/>
      <c r="I7" s="106"/>
      <c r="J7" s="106"/>
      <c r="K7" s="106"/>
      <c r="S7" s="5" t="s">
        <v>44</v>
      </c>
      <c r="T7" s="5">
        <f>(F6+I6)*85</f>
        <v>8500</v>
      </c>
    </row>
    <row r="8" spans="1:11" ht="21" thickBot="1" thickTop="1">
      <c r="A8" s="5"/>
      <c r="B8" s="119" t="s">
        <v>8</v>
      </c>
      <c r="C8" s="120"/>
      <c r="D8" s="289">
        <v>250</v>
      </c>
      <c r="E8" s="155" t="s">
        <v>92</v>
      </c>
      <c r="F8" s="106"/>
      <c r="G8" s="106"/>
      <c r="H8" s="108"/>
      <c r="I8" s="108"/>
      <c r="J8" s="106"/>
      <c r="K8" s="106"/>
    </row>
    <row r="9" spans="1:24" ht="21" thickBot="1" thickTop="1">
      <c r="A9" s="5"/>
      <c r="B9" s="122" t="s">
        <v>9</v>
      </c>
      <c r="C9" s="120"/>
      <c r="D9" s="289">
        <v>45</v>
      </c>
      <c r="E9" s="106"/>
      <c r="F9" s="106"/>
      <c r="G9" s="108"/>
      <c r="H9" s="109"/>
      <c r="I9" s="110"/>
      <c r="J9" s="106"/>
      <c r="K9" s="106"/>
      <c r="S9" s="17" t="s">
        <v>45</v>
      </c>
      <c r="T9" s="18">
        <f>(19.8*(1-F14)-2.441*F14)*(1/(1-F14))</f>
        <v>16.816555555555556</v>
      </c>
      <c r="U9" s="17" t="s">
        <v>48</v>
      </c>
      <c r="V9" s="18">
        <f>(19.7*(1-F18)-2.441*F18)*(1/(1-F18))</f>
        <v>18.072666666666667</v>
      </c>
      <c r="X9" s="18">
        <f>(19.7*(1-F16)-2.441*F16)*(1/(1-F16))</f>
        <v>17.702818181818184</v>
      </c>
    </row>
    <row r="10" spans="1:24" ht="21" thickBot="1" thickTop="1">
      <c r="A10" s="5"/>
      <c r="B10" s="145" t="s">
        <v>221</v>
      </c>
      <c r="C10" s="120"/>
      <c r="D10" s="289">
        <v>10</v>
      </c>
      <c r="E10" s="106"/>
      <c r="F10" s="106"/>
      <c r="G10" s="108"/>
      <c r="H10" s="109"/>
      <c r="I10" s="110"/>
      <c r="J10" s="106"/>
      <c r="K10" s="106"/>
      <c r="S10" s="17"/>
      <c r="T10" s="18"/>
      <c r="U10" s="17"/>
      <c r="V10" s="18"/>
      <c r="X10" s="18"/>
    </row>
    <row r="11" spans="1:24" ht="21" thickBot="1" thickTop="1">
      <c r="A11" s="5"/>
      <c r="B11" s="145" t="s">
        <v>222</v>
      </c>
      <c r="C11" s="120"/>
      <c r="D11" s="289">
        <v>10</v>
      </c>
      <c r="E11" s="106"/>
      <c r="F11" s="106"/>
      <c r="G11" s="108"/>
      <c r="H11" s="109"/>
      <c r="I11" s="110"/>
      <c r="J11" s="106"/>
      <c r="K11" s="106"/>
      <c r="S11" s="17"/>
      <c r="T11" s="18"/>
      <c r="U11" s="17"/>
      <c r="V11" s="18"/>
      <c r="X11" s="18"/>
    </row>
    <row r="12" spans="1:24" ht="15.75" thickTop="1">
      <c r="A12" s="5"/>
      <c r="B12" s="9"/>
      <c r="C12" s="5"/>
      <c r="D12" s="55"/>
      <c r="E12" s="4"/>
      <c r="F12" s="4"/>
      <c r="G12" s="10"/>
      <c r="H12" s="4"/>
      <c r="S12" s="17"/>
      <c r="T12" s="18"/>
      <c r="U12" s="17"/>
      <c r="V12" s="18"/>
      <c r="X12" s="18"/>
    </row>
    <row r="13" spans="1:24" ht="18">
      <c r="A13" s="5"/>
      <c r="B13" s="123"/>
      <c r="C13" s="114"/>
      <c r="D13" s="115" t="s">
        <v>53</v>
      </c>
      <c r="E13" s="115" t="s">
        <v>22</v>
      </c>
      <c r="F13" s="118" t="s">
        <v>54</v>
      </c>
      <c r="G13" s="104"/>
      <c r="H13" s="105"/>
      <c r="I13" s="105"/>
      <c r="J13" s="105"/>
      <c r="K13" s="105"/>
      <c r="L13" s="105"/>
      <c r="S13" s="17"/>
      <c r="T13" s="18"/>
      <c r="U13" s="17"/>
      <c r="V13" s="18"/>
      <c r="X13" s="18"/>
    </row>
    <row r="14" spans="1:24" ht="20.25" thickBot="1">
      <c r="A14" s="5"/>
      <c r="B14" s="116" t="s">
        <v>247</v>
      </c>
      <c r="C14" s="124"/>
      <c r="D14" s="283"/>
      <c r="E14" s="279">
        <v>0.55</v>
      </c>
      <c r="F14" s="276">
        <f aca="true" t="shared" si="0" ref="F14:F23">IF(COUNTA(C14:D14)=1,D14,E14)</f>
        <v>0.55</v>
      </c>
      <c r="G14" s="104"/>
      <c r="H14" s="105"/>
      <c r="I14" s="105"/>
      <c r="J14" s="105"/>
      <c r="K14" s="105"/>
      <c r="L14" s="105"/>
      <c r="S14" s="17" t="s">
        <v>46</v>
      </c>
      <c r="T14" s="18">
        <f>(20.5*(1-F14)-2.441*F14)*(1/(1-F14))</f>
        <v>17.516555555555556</v>
      </c>
      <c r="U14" s="17" t="s">
        <v>49</v>
      </c>
      <c r="V14" s="18">
        <f>(20.4*(1-F18)-2.441*F18)*(1/(1-F18))</f>
        <v>18.772666666666666</v>
      </c>
      <c r="X14" s="18">
        <f>(20.4*(1-F16)-2.441*F16)*(1/(1-F16))</f>
        <v>18.402818181818184</v>
      </c>
    </row>
    <row r="15" spans="1:24" ht="21" thickBot="1" thickTop="1">
      <c r="A15" s="5"/>
      <c r="B15" s="119" t="s">
        <v>248</v>
      </c>
      <c r="C15" s="125"/>
      <c r="D15" s="284"/>
      <c r="E15" s="280">
        <v>0.7</v>
      </c>
      <c r="F15" s="277">
        <f t="shared" si="0"/>
        <v>0.7</v>
      </c>
      <c r="G15" s="105"/>
      <c r="H15" s="105"/>
      <c r="I15" s="105"/>
      <c r="J15" s="105"/>
      <c r="K15" s="105"/>
      <c r="L15" s="105"/>
      <c r="S15" s="17" t="s">
        <v>47</v>
      </c>
      <c r="T15" s="18">
        <f>(19.7*(1-F14)-2.441*F14)*(1/(1-F14))</f>
        <v>16.71655555555555</v>
      </c>
      <c r="U15" s="17" t="s">
        <v>50</v>
      </c>
      <c r="V15" s="18">
        <f>(19.7*(1-F18)-2.441*F18)*(1/(1-F18))</f>
        <v>18.072666666666667</v>
      </c>
      <c r="X15" s="18">
        <f>(19.7*(1-F16)-2.441*F16)*(1/(1-F16))</f>
        <v>17.702818181818184</v>
      </c>
    </row>
    <row r="16" spans="1:22" ht="21" thickBot="1" thickTop="1">
      <c r="A16" s="5"/>
      <c r="B16" s="119" t="s">
        <v>249</v>
      </c>
      <c r="C16" s="125"/>
      <c r="D16" s="284"/>
      <c r="E16" s="280">
        <v>0.45</v>
      </c>
      <c r="F16" s="277">
        <f t="shared" si="0"/>
        <v>0.45</v>
      </c>
      <c r="G16" s="105"/>
      <c r="H16" s="105"/>
      <c r="I16" s="105"/>
      <c r="J16" s="105"/>
      <c r="K16" s="105"/>
      <c r="L16" s="105"/>
      <c r="S16" s="17"/>
      <c r="T16" s="18"/>
      <c r="U16" s="17"/>
      <c r="V16" s="18"/>
    </row>
    <row r="17" spans="1:22" ht="21" thickBot="1" thickTop="1">
      <c r="A17" s="5"/>
      <c r="B17" s="119" t="s">
        <v>250</v>
      </c>
      <c r="C17" s="125"/>
      <c r="D17" s="284"/>
      <c r="E17" s="280">
        <v>0.1</v>
      </c>
      <c r="F17" s="277">
        <f t="shared" si="0"/>
        <v>0.1</v>
      </c>
      <c r="G17" s="105"/>
      <c r="H17" s="105"/>
      <c r="I17" s="105"/>
      <c r="J17" s="105"/>
      <c r="K17" s="105"/>
      <c r="L17" s="105"/>
      <c r="S17" s="17"/>
      <c r="T17" s="18"/>
      <c r="U17" s="17"/>
      <c r="V17" s="18"/>
    </row>
    <row r="18" spans="1:22" ht="21" thickBot="1" thickTop="1">
      <c r="A18" s="5"/>
      <c r="B18" s="119" t="s">
        <v>251</v>
      </c>
      <c r="C18" s="125"/>
      <c r="D18" s="284"/>
      <c r="E18" s="280">
        <v>0.4</v>
      </c>
      <c r="F18" s="277">
        <f t="shared" si="0"/>
        <v>0.4</v>
      </c>
      <c r="G18" s="155" t="s">
        <v>175</v>
      </c>
      <c r="H18" s="105"/>
      <c r="I18" s="105"/>
      <c r="J18" s="105"/>
      <c r="K18" s="105"/>
      <c r="L18" s="105"/>
      <c r="S18" s="17"/>
      <c r="T18" s="18"/>
      <c r="U18" s="17"/>
      <c r="V18" s="18"/>
    </row>
    <row r="19" spans="1:22" ht="21" thickBot="1" thickTop="1">
      <c r="A19" s="5"/>
      <c r="B19" s="119" t="s">
        <v>252</v>
      </c>
      <c r="C19" s="125"/>
      <c r="D19" s="284"/>
      <c r="E19" s="280">
        <v>0.2</v>
      </c>
      <c r="F19" s="277">
        <f t="shared" si="0"/>
        <v>0.2</v>
      </c>
      <c r="G19" s="105"/>
      <c r="H19" s="105"/>
      <c r="I19" s="105"/>
      <c r="J19" s="105"/>
      <c r="K19" s="105"/>
      <c r="L19" s="105"/>
      <c r="S19" s="17"/>
      <c r="T19" s="18"/>
      <c r="U19" s="17"/>
      <c r="V19" s="18"/>
    </row>
    <row r="20" spans="1:12" ht="21" thickBot="1" thickTop="1">
      <c r="A20" s="5"/>
      <c r="B20" s="122" t="s">
        <v>29</v>
      </c>
      <c r="C20" s="125"/>
      <c r="D20" s="285"/>
      <c r="E20" s="281">
        <v>15</v>
      </c>
      <c r="F20" s="278">
        <f t="shared" si="0"/>
        <v>15</v>
      </c>
      <c r="G20" s="105"/>
      <c r="H20" s="105"/>
      <c r="I20" s="105"/>
      <c r="J20" s="105"/>
      <c r="K20" s="105"/>
      <c r="L20" s="105"/>
    </row>
    <row r="21" spans="1:12" ht="21" thickBot="1" thickTop="1">
      <c r="A21" s="5"/>
      <c r="B21" s="119" t="s">
        <v>101</v>
      </c>
      <c r="C21" s="125"/>
      <c r="D21" s="285"/>
      <c r="E21" s="281">
        <v>4</v>
      </c>
      <c r="F21" s="278">
        <f t="shared" si="0"/>
        <v>4</v>
      </c>
      <c r="G21" s="105"/>
      <c r="H21" s="105"/>
      <c r="I21" s="105"/>
      <c r="J21" s="105"/>
      <c r="K21" s="105"/>
      <c r="L21" s="105"/>
    </row>
    <row r="22" spans="1:12" ht="21" thickBot="1" thickTop="1">
      <c r="A22" s="5"/>
      <c r="B22" s="145" t="s">
        <v>234</v>
      </c>
      <c r="C22" s="125"/>
      <c r="D22" s="285"/>
      <c r="E22" s="281">
        <v>5</v>
      </c>
      <c r="F22" s="278">
        <f>IF(COUNTA(C22:D22)=1,D22,E22)</f>
        <v>5</v>
      </c>
      <c r="G22" s="105"/>
      <c r="H22" s="105"/>
      <c r="I22" s="105"/>
      <c r="J22" s="105"/>
      <c r="K22" s="105"/>
      <c r="L22" s="105"/>
    </row>
    <row r="23" spans="1:12" ht="21" thickBot="1" thickTop="1">
      <c r="A23" s="5"/>
      <c r="B23" s="122" t="s">
        <v>142</v>
      </c>
      <c r="C23" s="125"/>
      <c r="D23" s="286"/>
      <c r="E23" s="280">
        <v>0.06</v>
      </c>
      <c r="F23" s="277">
        <f t="shared" si="0"/>
        <v>0.06</v>
      </c>
      <c r="G23" s="106" t="s">
        <v>236</v>
      </c>
      <c r="H23" s="105"/>
      <c r="I23" s="105"/>
      <c r="J23" s="105"/>
      <c r="K23" s="105"/>
      <c r="L23" s="105"/>
    </row>
    <row r="24" spans="4:12" s="4" customFormat="1" ht="18.75" thickTop="1">
      <c r="D24" s="112"/>
      <c r="E24" s="105"/>
      <c r="F24" s="105"/>
      <c r="G24" s="105"/>
      <c r="H24" s="105"/>
      <c r="I24" s="105"/>
      <c r="J24" s="105"/>
      <c r="K24" s="105"/>
      <c r="L24" s="105"/>
    </row>
    <row r="25" spans="2:12" s="300" customFormat="1" ht="18">
      <c r="B25" s="301"/>
      <c r="D25" s="302"/>
      <c r="E25" s="303"/>
      <c r="F25" s="303"/>
      <c r="G25" s="303"/>
      <c r="H25" s="303"/>
      <c r="I25" s="303"/>
      <c r="J25" s="303"/>
      <c r="K25" s="303"/>
      <c r="L25" s="303"/>
    </row>
    <row r="26" spans="2:10" s="297" customFormat="1" ht="29.25">
      <c r="B26" s="308" t="s">
        <v>172</v>
      </c>
      <c r="D26" s="299"/>
      <c r="E26" s="299"/>
      <c r="I26" s="299"/>
      <c r="J26" s="299"/>
    </row>
    <row r="27" spans="2:14" s="304" customFormat="1" ht="15.75">
      <c r="B27" s="305"/>
      <c r="I27" s="301"/>
      <c r="J27" s="301"/>
      <c r="K27" s="306"/>
      <c r="L27" s="307"/>
      <c r="M27" s="307"/>
      <c r="N27" s="307"/>
    </row>
    <row r="28" spans="2:14" s="128" customFormat="1" ht="15.75">
      <c r="B28" s="129"/>
      <c r="I28" s="130"/>
      <c r="J28" s="130"/>
      <c r="K28" s="131"/>
      <c r="L28" s="132"/>
      <c r="M28" s="132"/>
      <c r="N28" s="132"/>
    </row>
    <row r="29" spans="1:8" ht="21">
      <c r="A29" s="5"/>
      <c r="B29" s="195" t="s">
        <v>21</v>
      </c>
      <c r="C29" s="11"/>
      <c r="D29" s="5"/>
      <c r="E29" s="5"/>
      <c r="F29" s="5"/>
      <c r="G29" s="5"/>
      <c r="H29" s="5"/>
    </row>
    <row r="30" spans="1:99" s="1" customFormat="1" ht="16.5">
      <c r="A30" s="4"/>
      <c r="B30" s="52"/>
      <c r="C30" s="39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</row>
    <row r="31" spans="1:99" s="1" customFormat="1" ht="18">
      <c r="A31" s="4"/>
      <c r="B31" s="114"/>
      <c r="C31" s="118" t="s">
        <v>55</v>
      </c>
      <c r="D31" s="118" t="s">
        <v>166</v>
      </c>
      <c r="E31" s="118" t="s">
        <v>56</v>
      </c>
      <c r="F31" s="118" t="s">
        <v>57</v>
      </c>
      <c r="G31" s="4"/>
      <c r="H31" s="4"/>
      <c r="I31" s="4"/>
      <c r="J31" s="4"/>
      <c r="K31" s="10"/>
      <c r="L31" s="10"/>
      <c r="M31" s="10"/>
      <c r="N31" s="10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</row>
    <row r="32" spans="1:99" s="54" customFormat="1" ht="20.25" thickBot="1">
      <c r="A32" s="53"/>
      <c r="B32" s="310" t="s">
        <v>97</v>
      </c>
      <c r="C32" s="309">
        <f>((E6+H6)*184/425+(D6+G6)*94/395+(F6+I6)*85/500)*F15</f>
        <v>111.14676098287416</v>
      </c>
      <c r="D32" s="309">
        <f>(T5*T9+T6*T14+T7*T15)*0.278*F15*0.001</f>
        <v>224.31394103999997</v>
      </c>
      <c r="E32" s="309">
        <f>C32/D7</f>
        <v>55.57338049143708</v>
      </c>
      <c r="F32" s="309">
        <f>D32/D7</f>
        <v>112.15697051999999</v>
      </c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</row>
    <row r="33" spans="1:99" s="54" customFormat="1" ht="21" thickBot="1" thickTop="1">
      <c r="A33" s="53"/>
      <c r="B33" s="311" t="s">
        <v>98</v>
      </c>
      <c r="C33" s="292">
        <f>((E6+H6)*184/425+(D6+G6)*94/395+(F6+I6)*85/500)*((1-F17)*F15)</f>
        <v>100.03208488458675</v>
      </c>
      <c r="D33" s="292">
        <f>(T5*X9+T6*X14+T7*X15)*0.278*(F15*(1-F17))*0.001</f>
        <v>212.64846642327274</v>
      </c>
      <c r="E33" s="292">
        <f>C33/D7</f>
        <v>50.016042442293376</v>
      </c>
      <c r="F33" s="292">
        <f>D33/D7</f>
        <v>106.32423321163637</v>
      </c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</row>
    <row r="34" spans="1:99" s="1" customFormat="1" ht="21" thickBot="1" thickTop="1">
      <c r="A34" s="4"/>
      <c r="B34" s="311" t="s">
        <v>96</v>
      </c>
      <c r="C34" s="121">
        <f>((E6+H6)*184/425+(D6+G6)*94/395+(F6+I6)*85/500)*((1-F19)*F15)</f>
        <v>88.91740878629932</v>
      </c>
      <c r="D34" s="121">
        <f>(T5*V9+T6*V14+T7*V15)*0.278*(F15*(1-F19)*0.001)</f>
        <v>192.959195072</v>
      </c>
      <c r="E34" s="121">
        <f>C34/D7</f>
        <v>44.45870439314966</v>
      </c>
      <c r="F34" s="121">
        <f>D34/D7</f>
        <v>96.479597536</v>
      </c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</row>
    <row r="35" spans="1:99" s="2" customFormat="1" ht="13.5" thickTop="1">
      <c r="A35" s="11"/>
      <c r="B35" s="11"/>
      <c r="C35" s="11"/>
      <c r="D35" s="13"/>
      <c r="E35" s="14"/>
      <c r="F35" s="11"/>
      <c r="G35" s="11"/>
      <c r="H35" s="11"/>
      <c r="I35" s="39"/>
      <c r="J35" s="39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21">
      <c r="A37" s="5"/>
      <c r="B37" s="194" t="s">
        <v>58</v>
      </c>
      <c r="C37" s="5"/>
      <c r="D37" s="5"/>
      <c r="E37" s="5"/>
      <c r="F37" s="5"/>
      <c r="G37" s="5"/>
      <c r="H37" s="5"/>
    </row>
    <row r="38" spans="1:99" s="1" customFormat="1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</row>
    <row r="39" spans="1:99" s="1" customFormat="1" ht="18">
      <c r="A39" s="56"/>
      <c r="B39" s="133"/>
      <c r="C39" s="312" t="s">
        <v>192</v>
      </c>
      <c r="D39" s="313" t="s">
        <v>193</v>
      </c>
      <c r="E39" s="312" t="s">
        <v>194</v>
      </c>
      <c r="F39" s="312" t="s">
        <v>195</v>
      </c>
      <c r="G39" s="314" t="s">
        <v>196</v>
      </c>
      <c r="H39" s="312" t="s">
        <v>197</v>
      </c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</row>
    <row r="40" spans="1:99" s="1" customFormat="1" ht="20.25" thickBot="1">
      <c r="A40" s="56"/>
      <c r="B40" s="116" t="s">
        <v>102</v>
      </c>
      <c r="C40" s="335">
        <f>Välivarastohaketus!D81</f>
        <v>21.273734146578775</v>
      </c>
      <c r="D40" s="357">
        <f>Välivarastohaketus!F81</f>
        <v>25.59073342444573</v>
      </c>
      <c r="E40" s="358">
        <f>Välivarastohaketus!H81</f>
        <v>25.739011870787323</v>
      </c>
      <c r="F40" s="335">
        <f>Välivarastohaketus!E81</f>
        <v>10.541059701596332</v>
      </c>
      <c r="G40" s="357">
        <f>Välivarastohaketus!G81</f>
        <v>12.038151326600989</v>
      </c>
      <c r="H40" s="358">
        <f>Välivarastohaketus!I81</f>
        <v>12.066416001097398</v>
      </c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</row>
    <row r="41" spans="1:99" s="1" customFormat="1" ht="21" thickBot="1" thickTop="1">
      <c r="A41" s="56"/>
      <c r="B41" s="119" t="s">
        <v>103</v>
      </c>
      <c r="C41" s="336">
        <f>Välivarastohaketus!D82</f>
        <v>24.27456264309771</v>
      </c>
      <c r="D41" s="356">
        <f>Välivarastohaketus!F82</f>
        <v>28.99128943986233</v>
      </c>
      <c r="E41" s="359">
        <f>Välivarastohaketus!H82</f>
        <v>28.277972554359728</v>
      </c>
      <c r="F41" s="336">
        <f>Välivarastohaketus!E82</f>
        <v>12.027959562152532</v>
      </c>
      <c r="G41" s="356">
        <f>Välivarastohaketus!G82</f>
        <v>13.637808797498776</v>
      </c>
      <c r="H41" s="359">
        <f>Välivarastohaketus!I82</f>
        <v>13.236392922432046</v>
      </c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</row>
    <row r="42" spans="1:99" s="1" customFormat="1" ht="21" thickBot="1" thickTop="1">
      <c r="A42" s="56"/>
      <c r="B42" s="119" t="s">
        <v>104</v>
      </c>
      <c r="C42" s="336">
        <f>Välivarastohaketus!M81</f>
        <v>20.162842057579596</v>
      </c>
      <c r="D42" s="356">
        <f>Välivarastohaketus!O81</f>
        <v>22.031912311581856</v>
      </c>
      <c r="E42" s="359">
        <f>Välivarastohaketus!Q81</f>
        <v>22.151033446346545</v>
      </c>
      <c r="F42" s="336">
        <f>Välivarastohaketus!N81</f>
        <v>9.990616617580704</v>
      </c>
      <c r="G42" s="356">
        <f>Välivarastohaketus!P81</f>
        <v>10.364044282055204</v>
      </c>
      <c r="H42" s="359">
        <f>Välivarastohaketus!R81</f>
        <v>10.406566692827866</v>
      </c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</row>
    <row r="43" spans="1:99" s="1" customFormat="1" ht="21" thickBot="1" thickTop="1">
      <c r="A43" s="56"/>
      <c r="B43" s="119" t="s">
        <v>105</v>
      </c>
      <c r="C43" s="336">
        <f>Välivarastohaketus!M82</f>
        <v>23.16367055409853</v>
      </c>
      <c r="D43" s="356">
        <f>Välivarastohaketus!O82</f>
        <v>25.432468326998457</v>
      </c>
      <c r="E43" s="359">
        <f>Välivarastohaketus!Q82</f>
        <v>24.689994129918958</v>
      </c>
      <c r="F43" s="336">
        <f>Välivarastohaketus!N82</f>
        <v>11.477516478136902</v>
      </c>
      <c r="G43" s="356">
        <f>Välivarastohaketus!P82</f>
        <v>11.963701752952991</v>
      </c>
      <c r="H43" s="359">
        <f>Välivarastohaketus!R82</f>
        <v>11.576543614162514</v>
      </c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</row>
    <row r="44" spans="1:99" s="1" customFormat="1" ht="21" thickBot="1" thickTop="1">
      <c r="A44" s="56"/>
      <c r="B44" s="122" t="s">
        <v>88</v>
      </c>
      <c r="C44" s="336">
        <f>Palstahaketus!D67</f>
        <v>26.591864620480713</v>
      </c>
      <c r="D44" s="356" t="s">
        <v>167</v>
      </c>
      <c r="E44" s="359">
        <f>Palstahaketus!F67</f>
        <v>29.304221436971034</v>
      </c>
      <c r="F44" s="336">
        <f>Palstahaketus!E67</f>
        <v>13.176174460482914</v>
      </c>
      <c r="G44" s="356" t="s">
        <v>167</v>
      </c>
      <c r="H44" s="359">
        <f>Palstahaketus!G67</f>
        <v>13.67608150616231</v>
      </c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</row>
    <row r="45" spans="1:99" s="1" customFormat="1" ht="21" thickBot="1" thickTop="1">
      <c r="A45" s="56"/>
      <c r="B45" s="122" t="s">
        <v>242</v>
      </c>
      <c r="C45" s="336">
        <f>'Irtorisu &amp; terminaalihaketus'!D97</f>
        <v>21.26142874406955</v>
      </c>
      <c r="D45" s="356">
        <f>'Irtorisu &amp; terminaalihaketus'!F97</f>
        <v>24.01457945677705</v>
      </c>
      <c r="E45" s="359">
        <f>'Irtorisu &amp; terminaalihaketus'!H97</f>
        <v>22.618519026319348</v>
      </c>
      <c r="F45" s="336">
        <f>'Irtorisu &amp; terminaalihaketus'!E97</f>
        <v>10.534962418363959</v>
      </c>
      <c r="G45" s="356">
        <f>'Irtorisu &amp; terminaalihaketus'!G97</f>
        <v>11.29671185075177</v>
      </c>
      <c r="H45" s="359">
        <f>'Irtorisu &amp; terminaalihaketus'!I97</f>
        <v>10.422825932982787</v>
      </c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</row>
    <row r="46" spans="1:99" s="1" customFormat="1" ht="21" thickBot="1" thickTop="1">
      <c r="A46" s="56"/>
      <c r="B46" s="119" t="s">
        <v>240</v>
      </c>
      <c r="C46" s="336">
        <f>'Irtorisu &amp; terminaalihaketus'!D98</f>
        <v>24.262257240588482</v>
      </c>
      <c r="D46" s="356">
        <f>'Irtorisu &amp; terminaalihaketus'!F98</f>
        <v>27.43077542976994</v>
      </c>
      <c r="E46" s="359">
        <f>'Irtorisu &amp; terminaalihaketus'!H98</f>
        <v>25.688363379898792</v>
      </c>
      <c r="F46" s="336">
        <f>'Irtorisu &amp; terminaalihaketus'!E98</f>
        <v>12.021862278920159</v>
      </c>
      <c r="G46" s="356">
        <f>'Irtorisu &amp; terminaalihaketus'!G98</f>
        <v>12.90372652290371</v>
      </c>
      <c r="H46" s="359">
        <f>'Irtorisu &amp; terminaalihaketus'!I98</f>
        <v>11.837439033932366</v>
      </c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</row>
    <row r="47" spans="1:99" s="1" customFormat="1" ht="21" thickBot="1" thickTop="1">
      <c r="A47" s="56"/>
      <c r="B47" s="122" t="s">
        <v>89</v>
      </c>
      <c r="C47" s="336">
        <f>'Irtorisu &amp; käyttöpaikkahaketus'!D79</f>
        <v>20.199829350301243</v>
      </c>
      <c r="D47" s="356">
        <f>'Irtorisu &amp; käyttöpaikkahaketus'!F79</f>
        <v>21.086876417729645</v>
      </c>
      <c r="E47" s="359">
        <f>'Irtorisu &amp; käyttöpaikkahaketus'!H79</f>
        <v>20.630761499264384</v>
      </c>
      <c r="F47" s="336">
        <f>'Irtorisu &amp; käyttöpaikkahaketus'!E79</f>
        <v>10.008943689738931</v>
      </c>
      <c r="G47" s="356">
        <f>'Irtorisu &amp; käyttöpaikkahaketus'!G79</f>
        <v>9.9194894148471</v>
      </c>
      <c r="H47" s="359">
        <f>'Irtorisu &amp; käyttöpaikkahaketus'!I79</f>
        <v>9.506848601427075</v>
      </c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</row>
    <row r="48" spans="1:99" s="1" customFormat="1" ht="21" thickBot="1" thickTop="1">
      <c r="A48" s="56"/>
      <c r="B48" s="119" t="s">
        <v>90</v>
      </c>
      <c r="C48" s="336">
        <f>'Irtorisu &amp; käyttöpaikkahaketus'!D80</f>
        <v>23.200657846820175</v>
      </c>
      <c r="D48" s="356">
        <f>'Irtorisu &amp; käyttöpaikkahaketus'!F80</f>
        <v>24.48652443210818</v>
      </c>
      <c r="E48" s="359">
        <f>'Irtorisu &amp; käyttöpaikkahaketus'!H80</f>
        <v>23.68573561187489</v>
      </c>
      <c r="F48" s="336">
        <f>'Irtorisu &amp; käyttöpaikkahaketus'!E80</f>
        <v>11.495843550295131</v>
      </c>
      <c r="G48" s="356">
        <f>'Irtorisu &amp; käyttöpaikkahaketus'!G80</f>
        <v>11.518719752465051</v>
      </c>
      <c r="H48" s="359">
        <f>'Irtorisu &amp; käyttöpaikkahaketus'!I80</f>
        <v>10.914609355721218</v>
      </c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</row>
    <row r="49" spans="1:99" s="1" customFormat="1" ht="21" thickBot="1" thickTop="1">
      <c r="A49" s="56"/>
      <c r="B49" s="122" t="s">
        <v>241</v>
      </c>
      <c r="C49" s="336">
        <f>'Risutukki &amp; terminaalihaketus'!D111</f>
        <v>28.126844350393007</v>
      </c>
      <c r="D49" s="356">
        <f>'Risutukki &amp; terminaalihaketus'!F111</f>
        <v>29.500999998129625</v>
      </c>
      <c r="E49" s="359">
        <f>'Risutukki &amp; terminaalihaketus'!H111</f>
        <v>34.25383609328681</v>
      </c>
      <c r="F49" s="336">
        <f>'Risutukki &amp; terminaalihaketus'!E111</f>
        <v>13.936751464137334</v>
      </c>
      <c r="G49" s="356">
        <f>'Risutukki &amp; terminaalihaketus'!G111</f>
        <v>13.918883786574334</v>
      </c>
      <c r="H49" s="359">
        <f>'Risutukki &amp; terminaalihaketus'!I111</f>
        <v>15.864495625687507</v>
      </c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</row>
    <row r="50" spans="1:99" s="1" customFormat="1" ht="21" thickBot="1" thickTop="1">
      <c r="A50" s="56"/>
      <c r="B50" s="122" t="s">
        <v>91</v>
      </c>
      <c r="C50" s="336">
        <f>'Risutukki &amp; käyttöpaikkahaketus'!D96</f>
        <v>20.69996987032489</v>
      </c>
      <c r="D50" s="356">
        <f>'Risutukki &amp; käyttöpaikkahaketus'!F96</f>
        <v>21.884397199963644</v>
      </c>
      <c r="E50" s="359">
        <f>'Risutukki &amp; käyttöpaikkahaketus'!H96</f>
        <v>26.359558630061727</v>
      </c>
      <c r="F50" s="336">
        <f>'Risutukki &amp; käyttöpaikkahaketus'!E96</f>
        <v>10.256761540823835</v>
      </c>
      <c r="G50" s="356">
        <f>'Risutukki &amp; käyttöpaikkahaketus'!G96</f>
        <v>10.344823384256692</v>
      </c>
      <c r="H50" s="359">
        <f>'Risutukki &amp; käyttöpaikkahaketus'!I96</f>
        <v>12.299743233868469</v>
      </c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</row>
    <row r="51" spans="1:8" ht="13.5" thickTop="1">
      <c r="A51" s="4"/>
      <c r="B51" s="4"/>
      <c r="C51" s="4"/>
      <c r="D51" s="4"/>
      <c r="E51" s="4"/>
      <c r="F51" s="4"/>
      <c r="G51" s="4"/>
      <c r="H51" s="4"/>
    </row>
    <row r="52" spans="1:8" ht="12.75">
      <c r="A52" s="5"/>
      <c r="B52" s="5"/>
      <c r="C52" s="5"/>
      <c r="D52" s="5"/>
      <c r="E52" s="5"/>
      <c r="F52" s="5"/>
      <c r="G52" s="5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2.75">
      <c r="A54" s="5"/>
      <c r="B54" s="5"/>
      <c r="C54" s="5"/>
      <c r="D54" s="5"/>
      <c r="E54" s="5"/>
      <c r="F54" s="5"/>
      <c r="G54" s="5"/>
      <c r="H54" s="5"/>
    </row>
    <row r="55" spans="1:8" ht="12.75">
      <c r="A55" s="5"/>
      <c r="B55" s="5"/>
      <c r="C55" s="5"/>
      <c r="D55" s="5"/>
      <c r="E55" s="5"/>
      <c r="F55" s="5"/>
      <c r="G55" s="5"/>
      <c r="H55" s="5"/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12.75">
      <c r="A57" s="5"/>
      <c r="B57" s="5"/>
      <c r="C57" s="5"/>
      <c r="D57" s="5"/>
      <c r="E57" s="5"/>
      <c r="F57" s="5"/>
      <c r="G57" s="5"/>
      <c r="H57" s="5"/>
    </row>
    <row r="58" spans="1:8" ht="12.75">
      <c r="A58" s="5"/>
      <c r="B58" s="5"/>
      <c r="C58" s="5"/>
      <c r="D58" s="5"/>
      <c r="E58" s="5"/>
      <c r="F58" s="5"/>
      <c r="G58" s="5"/>
      <c r="H58" s="5"/>
    </row>
    <row r="59" spans="1:8" ht="12.75">
      <c r="A59" s="5"/>
      <c r="B59" s="5"/>
      <c r="C59" s="5"/>
      <c r="D59" s="5"/>
      <c r="E59" s="5"/>
      <c r="F59" s="5"/>
      <c r="G59" s="5"/>
      <c r="H59" s="5"/>
    </row>
    <row r="60" spans="1:8" ht="12.75">
      <c r="A60" s="5"/>
      <c r="B60" s="5"/>
      <c r="C60" s="5"/>
      <c r="D60" s="5"/>
      <c r="E60" s="5"/>
      <c r="F60" s="5"/>
      <c r="G60" s="5"/>
      <c r="H60" s="5"/>
    </row>
    <row r="61" spans="1:8" ht="12.75">
      <c r="A61" s="5"/>
      <c r="B61" s="5"/>
      <c r="C61" s="5"/>
      <c r="D61" s="5"/>
      <c r="E61" s="5"/>
      <c r="F61" s="5"/>
      <c r="G61" s="5"/>
      <c r="H61" s="5"/>
    </row>
    <row r="62" spans="1:8" ht="12.75">
      <c r="A62" s="5"/>
      <c r="B62" s="5"/>
      <c r="C62" s="5"/>
      <c r="D62" s="5"/>
      <c r="E62" s="5"/>
      <c r="F62" s="5"/>
      <c r="G62" s="5"/>
      <c r="H62" s="5"/>
    </row>
    <row r="63" spans="1:8" ht="12.75">
      <c r="A63" s="5"/>
      <c r="B63" s="5"/>
      <c r="C63" s="5"/>
      <c r="D63" s="5"/>
      <c r="E63" s="5"/>
      <c r="F63" s="5"/>
      <c r="G63" s="5"/>
      <c r="H63" s="5"/>
    </row>
    <row r="64" spans="1:8" ht="12.75">
      <c r="A64" s="5"/>
      <c r="B64" s="5"/>
      <c r="C64" s="5"/>
      <c r="D64" s="5"/>
      <c r="E64" s="5"/>
      <c r="F64" s="5"/>
      <c r="G64" s="5"/>
      <c r="H64" s="5"/>
    </row>
    <row r="65" spans="1:8" ht="12.75">
      <c r="A65" s="5"/>
      <c r="B65" s="5"/>
      <c r="C65" s="5"/>
      <c r="D65" s="5"/>
      <c r="E65" s="5"/>
      <c r="F65" s="5"/>
      <c r="G65" s="5"/>
      <c r="H65" s="5"/>
    </row>
    <row r="66" spans="1:8" ht="12.75">
      <c r="A66" s="5"/>
      <c r="B66" s="5"/>
      <c r="C66" s="5"/>
      <c r="D66" s="5"/>
      <c r="E66" s="5"/>
      <c r="F66" s="5"/>
      <c r="G66" s="5"/>
      <c r="H66" s="5"/>
    </row>
    <row r="67" spans="1:8" ht="12.75">
      <c r="A67" s="5"/>
      <c r="B67" s="5"/>
      <c r="C67" s="5"/>
      <c r="D67" s="5"/>
      <c r="E67" s="5"/>
      <c r="F67" s="5"/>
      <c r="G67" s="5"/>
      <c r="H67" s="5"/>
    </row>
    <row r="68" spans="1:8" ht="12.75">
      <c r="A68" s="5"/>
      <c r="B68" s="5"/>
      <c r="C68" s="5"/>
      <c r="D68" s="5"/>
      <c r="E68" s="5"/>
      <c r="F68" s="5"/>
      <c r="G68" s="5"/>
      <c r="H68" s="5"/>
    </row>
    <row r="69" spans="1:8" ht="12.75">
      <c r="A69" s="5"/>
      <c r="B69" s="5"/>
      <c r="C69" s="5"/>
      <c r="D69" s="5"/>
      <c r="E69" s="5"/>
      <c r="F69" s="5"/>
      <c r="G69" s="5"/>
      <c r="H69" s="5"/>
    </row>
    <row r="70" spans="1:8" ht="12.75">
      <c r="A70" s="5"/>
      <c r="B70" s="5"/>
      <c r="C70" s="5"/>
      <c r="D70" s="5"/>
      <c r="E70" s="5"/>
      <c r="F70" s="5"/>
      <c r="G70" s="5"/>
      <c r="H70" s="5"/>
    </row>
    <row r="71" spans="1:8" ht="12.75">
      <c r="A71" s="5"/>
      <c r="B71" s="5"/>
      <c r="C71" s="5"/>
      <c r="D71" s="5"/>
      <c r="E71" s="5"/>
      <c r="F71" s="5"/>
      <c r="G71" s="5"/>
      <c r="H71" s="5"/>
    </row>
    <row r="72" spans="1:8" ht="12.75">
      <c r="A72" s="5"/>
      <c r="B72" s="5"/>
      <c r="C72" s="5"/>
      <c r="D72" s="5"/>
      <c r="E72" s="5"/>
      <c r="F72" s="5"/>
      <c r="G72" s="5"/>
      <c r="H72" s="5"/>
    </row>
    <row r="73" spans="1:8" ht="12.75">
      <c r="A73" s="5"/>
      <c r="B73" s="5"/>
      <c r="C73" s="5"/>
      <c r="D73" s="5"/>
      <c r="E73" s="5"/>
      <c r="F73" s="5"/>
      <c r="G73" s="5"/>
      <c r="H73" s="5"/>
    </row>
    <row r="74" spans="1:8" ht="12.75">
      <c r="A74" s="5"/>
      <c r="B74" s="5"/>
      <c r="C74" s="5"/>
      <c r="D74" s="5"/>
      <c r="E74" s="5"/>
      <c r="F74" s="5"/>
      <c r="G74" s="5"/>
      <c r="H74" s="5"/>
    </row>
    <row r="75" spans="1:8" ht="12.75">
      <c r="A75" s="5"/>
      <c r="B75" s="5"/>
      <c r="C75" s="5"/>
      <c r="D75" s="5"/>
      <c r="E75" s="5"/>
      <c r="F75" s="5"/>
      <c r="G75" s="5"/>
      <c r="H75" s="5"/>
    </row>
    <row r="76" spans="1:8" ht="12.75">
      <c r="A76" s="5"/>
      <c r="B76" s="5"/>
      <c r="C76" s="5"/>
      <c r="D76" s="5"/>
      <c r="E76" s="5"/>
      <c r="F76" s="5"/>
      <c r="G76" s="5"/>
      <c r="H76" s="5"/>
    </row>
    <row r="77" spans="1:8" ht="12.75">
      <c r="A77" s="5"/>
      <c r="B77" s="5"/>
      <c r="C77" s="5"/>
      <c r="D77" s="5"/>
      <c r="E77" s="5"/>
      <c r="F77" s="5"/>
      <c r="G77" s="5"/>
      <c r="H77" s="5"/>
    </row>
    <row r="78" spans="1:8" ht="12.75">
      <c r="A78" s="5"/>
      <c r="B78" s="5"/>
      <c r="C78" s="5"/>
      <c r="D78" s="5"/>
      <c r="E78" s="5"/>
      <c r="F78" s="5"/>
      <c r="G78" s="5"/>
      <c r="H78" s="5"/>
    </row>
    <row r="79" spans="1:8" ht="12.75">
      <c r="A79" s="5"/>
      <c r="B79" s="5"/>
      <c r="C79" s="5"/>
      <c r="D79" s="5"/>
      <c r="E79" s="5"/>
      <c r="F79" s="5"/>
      <c r="G79" s="5"/>
      <c r="H79" s="5"/>
    </row>
    <row r="80" spans="1:8" ht="12.75">
      <c r="A80" s="5"/>
      <c r="B80" s="5"/>
      <c r="C80" s="5"/>
      <c r="D80" s="5"/>
      <c r="E80" s="5"/>
      <c r="F80" s="5"/>
      <c r="G80" s="5"/>
      <c r="H80" s="5"/>
    </row>
    <row r="81" spans="9:10" s="5" customFormat="1" ht="12.75">
      <c r="I81" s="4"/>
      <c r="J81" s="4"/>
    </row>
    <row r="82" spans="9:10" s="5" customFormat="1" ht="12.75">
      <c r="I82" s="4"/>
      <c r="J82" s="4"/>
    </row>
    <row r="83" spans="9:10" s="5" customFormat="1" ht="12.75">
      <c r="I83" s="4"/>
      <c r="J83" s="4"/>
    </row>
    <row r="84" spans="9:10" s="5" customFormat="1" ht="12.75">
      <c r="I84" s="4"/>
      <c r="J84" s="4"/>
    </row>
    <row r="85" spans="9:10" s="5" customFormat="1" ht="12.75">
      <c r="I85" s="4"/>
      <c r="J85" s="4"/>
    </row>
    <row r="86" spans="9:10" s="5" customFormat="1" ht="12.75">
      <c r="I86" s="4"/>
      <c r="J86" s="4"/>
    </row>
    <row r="87" spans="9:10" s="5" customFormat="1" ht="12.75">
      <c r="I87" s="4"/>
      <c r="J87" s="4"/>
    </row>
    <row r="88" spans="9:10" s="5" customFormat="1" ht="12.75">
      <c r="I88" s="4"/>
      <c r="J88" s="4"/>
    </row>
    <row r="89" spans="2:12" s="300" customFormat="1" ht="18">
      <c r="B89" s="301"/>
      <c r="D89" s="302"/>
      <c r="E89" s="303"/>
      <c r="F89" s="303"/>
      <c r="G89" s="303"/>
      <c r="H89" s="303"/>
      <c r="I89" s="303"/>
      <c r="J89" s="303"/>
      <c r="K89" s="303"/>
      <c r="L89" s="303"/>
    </row>
    <row r="90" spans="2:10" s="297" customFormat="1" ht="29.25">
      <c r="B90" s="308"/>
      <c r="D90" s="299"/>
      <c r="E90" s="299"/>
      <c r="I90" s="299"/>
      <c r="J90" s="299"/>
    </row>
    <row r="91" spans="2:14" s="304" customFormat="1" ht="15.75">
      <c r="B91" s="305"/>
      <c r="I91" s="301"/>
      <c r="J91" s="301"/>
      <c r="K91" s="306"/>
      <c r="L91" s="307"/>
      <c r="M91" s="307"/>
      <c r="N91" s="307"/>
    </row>
    <row r="92" spans="9:10" s="5" customFormat="1" ht="12.75">
      <c r="I92" s="4"/>
      <c r="J92" s="4"/>
    </row>
    <row r="93" spans="9:10" s="5" customFormat="1" ht="12.75">
      <c r="I93" s="4"/>
      <c r="J93" s="4"/>
    </row>
    <row r="94" spans="9:10" s="5" customFormat="1" ht="12.75">
      <c r="I94" s="4"/>
      <c r="J94" s="4"/>
    </row>
    <row r="95" spans="9:10" s="5" customFormat="1" ht="12.75">
      <c r="I95" s="4"/>
      <c r="J95" s="4"/>
    </row>
    <row r="96" spans="9:10" s="5" customFormat="1" ht="12.75">
      <c r="I96" s="4"/>
      <c r="J96" s="4"/>
    </row>
    <row r="97" spans="9:10" s="5" customFormat="1" ht="12.75">
      <c r="I97" s="4"/>
      <c r="J97" s="4"/>
    </row>
    <row r="98" spans="9:10" s="5" customFormat="1" ht="12.75">
      <c r="I98" s="4"/>
      <c r="J98" s="4"/>
    </row>
    <row r="99" spans="9:10" s="5" customFormat="1" ht="12.75">
      <c r="I99" s="4"/>
      <c r="J99" s="4"/>
    </row>
    <row r="100" spans="9:10" s="5" customFormat="1" ht="12.75">
      <c r="I100" s="4"/>
      <c r="J100" s="4"/>
    </row>
    <row r="101" spans="9:10" s="5" customFormat="1" ht="12.75">
      <c r="I101" s="4"/>
      <c r="J101" s="4"/>
    </row>
    <row r="102" spans="9:10" s="5" customFormat="1" ht="12.75">
      <c r="I102" s="4"/>
      <c r="J102" s="4"/>
    </row>
    <row r="103" spans="9:10" s="5" customFormat="1" ht="12.75">
      <c r="I103" s="4"/>
      <c r="J103" s="4"/>
    </row>
    <row r="104" spans="9:10" s="5" customFormat="1" ht="12.75">
      <c r="I104" s="4"/>
      <c r="J104" s="4"/>
    </row>
    <row r="105" spans="9:10" s="5" customFormat="1" ht="12.75">
      <c r="I105" s="4"/>
      <c r="J105" s="4"/>
    </row>
    <row r="106" spans="9:10" s="5" customFormat="1" ht="12.75">
      <c r="I106" s="4"/>
      <c r="J106" s="4"/>
    </row>
    <row r="107" spans="9:10" s="5" customFormat="1" ht="12.75">
      <c r="I107" s="4"/>
      <c r="J107" s="4"/>
    </row>
    <row r="108" spans="9:10" s="5" customFormat="1" ht="12.75">
      <c r="I108" s="4"/>
      <c r="J108" s="4"/>
    </row>
    <row r="109" spans="9:10" s="5" customFormat="1" ht="12.75">
      <c r="I109" s="4"/>
      <c r="J109" s="4"/>
    </row>
    <row r="110" spans="9:10" s="5" customFormat="1" ht="12.75">
      <c r="I110" s="4"/>
      <c r="J110" s="4"/>
    </row>
    <row r="111" spans="9:10" s="5" customFormat="1" ht="12.75">
      <c r="I111" s="4"/>
      <c r="J111" s="4"/>
    </row>
    <row r="112" spans="9:10" s="5" customFormat="1" ht="12.75">
      <c r="I112" s="4"/>
      <c r="J112" s="4"/>
    </row>
    <row r="113" spans="9:10" s="5" customFormat="1" ht="12.75">
      <c r="I113" s="4"/>
      <c r="J113" s="4"/>
    </row>
    <row r="114" spans="9:10" s="5" customFormat="1" ht="12.75">
      <c r="I114" s="4"/>
      <c r="J114" s="4"/>
    </row>
    <row r="115" spans="9:10" s="5" customFormat="1" ht="12.75">
      <c r="I115" s="4"/>
      <c r="J115" s="4"/>
    </row>
    <row r="116" spans="9:10" s="5" customFormat="1" ht="12.75">
      <c r="I116" s="4"/>
      <c r="J116" s="4"/>
    </row>
    <row r="117" spans="9:10" s="5" customFormat="1" ht="12.75">
      <c r="I117" s="4"/>
      <c r="J117" s="4"/>
    </row>
    <row r="118" spans="9:10" s="5" customFormat="1" ht="12.75">
      <c r="I118" s="4"/>
      <c r="J118" s="4"/>
    </row>
    <row r="119" spans="9:10" s="5" customFormat="1" ht="12.75">
      <c r="I119" s="4"/>
      <c r="J119" s="4"/>
    </row>
    <row r="120" spans="9:10" s="5" customFormat="1" ht="12.75">
      <c r="I120" s="4"/>
      <c r="J120" s="4"/>
    </row>
    <row r="121" spans="9:10" s="5" customFormat="1" ht="12.75">
      <c r="I121" s="4"/>
      <c r="J121" s="4"/>
    </row>
    <row r="122" spans="9:10" s="5" customFormat="1" ht="12.75">
      <c r="I122" s="4"/>
      <c r="J122" s="4"/>
    </row>
    <row r="123" spans="9:10" s="5" customFormat="1" ht="12.75">
      <c r="I123" s="4"/>
      <c r="J123" s="4"/>
    </row>
    <row r="124" spans="9:10" s="5" customFormat="1" ht="12.75">
      <c r="I124" s="4"/>
      <c r="J124" s="4"/>
    </row>
    <row r="125" spans="9:10" s="5" customFormat="1" ht="12.75">
      <c r="I125" s="4"/>
      <c r="J125" s="4"/>
    </row>
    <row r="126" spans="9:10" s="5" customFormat="1" ht="12.75">
      <c r="I126" s="4"/>
      <c r="J126" s="4"/>
    </row>
    <row r="127" spans="9:10" s="5" customFormat="1" ht="12.75">
      <c r="I127" s="4"/>
      <c r="J127" s="4"/>
    </row>
    <row r="128" spans="9:10" s="5" customFormat="1" ht="12.75">
      <c r="I128" s="4"/>
      <c r="J128" s="4"/>
    </row>
    <row r="129" spans="9:10" s="5" customFormat="1" ht="12.75">
      <c r="I129" s="4"/>
      <c r="J129" s="4"/>
    </row>
    <row r="130" spans="9:10" s="5" customFormat="1" ht="12.75">
      <c r="I130" s="4"/>
      <c r="J130" s="4"/>
    </row>
    <row r="131" spans="9:10" s="5" customFormat="1" ht="12.75">
      <c r="I131" s="4"/>
      <c r="J131" s="4"/>
    </row>
    <row r="132" spans="9:10" s="5" customFormat="1" ht="12.75">
      <c r="I132" s="4"/>
      <c r="J132" s="4"/>
    </row>
    <row r="133" spans="9:10" s="5" customFormat="1" ht="12.75">
      <c r="I133" s="4"/>
      <c r="J133" s="4"/>
    </row>
    <row r="134" spans="9:10" s="5" customFormat="1" ht="12.75">
      <c r="I134" s="4"/>
      <c r="J134" s="4"/>
    </row>
    <row r="135" spans="9:10" s="5" customFormat="1" ht="12.75">
      <c r="I135" s="4"/>
      <c r="J135" s="4"/>
    </row>
    <row r="136" spans="9:10" s="5" customFormat="1" ht="12.75">
      <c r="I136" s="4"/>
      <c r="J136" s="4"/>
    </row>
    <row r="137" spans="9:10" s="5" customFormat="1" ht="12.75">
      <c r="I137" s="4"/>
      <c r="J137" s="4"/>
    </row>
    <row r="138" spans="9:10" s="5" customFormat="1" ht="12.75">
      <c r="I138" s="4"/>
      <c r="J138" s="4"/>
    </row>
    <row r="139" spans="9:10" s="5" customFormat="1" ht="12.75">
      <c r="I139" s="4"/>
      <c r="J139" s="4"/>
    </row>
    <row r="140" spans="9:10" s="5" customFormat="1" ht="12.75">
      <c r="I140" s="4"/>
      <c r="J140" s="4"/>
    </row>
    <row r="141" spans="9:10" s="5" customFormat="1" ht="12.75">
      <c r="I141" s="4"/>
      <c r="J141" s="4"/>
    </row>
    <row r="142" spans="9:10" s="5" customFormat="1" ht="12.75">
      <c r="I142" s="4"/>
      <c r="J142" s="4"/>
    </row>
    <row r="143" spans="9:10" s="5" customFormat="1" ht="12.75">
      <c r="I143" s="4"/>
      <c r="J143" s="4"/>
    </row>
    <row r="144" spans="9:10" s="5" customFormat="1" ht="12.75">
      <c r="I144" s="4"/>
      <c r="J144" s="4"/>
    </row>
    <row r="145" spans="9:10" s="5" customFormat="1" ht="12.75">
      <c r="I145" s="4"/>
      <c r="J145" s="4"/>
    </row>
    <row r="146" spans="9:10" s="239" customFormat="1" ht="12.75">
      <c r="I146" s="240"/>
      <c r="J146" s="240"/>
    </row>
    <row r="147" spans="9:10" s="239" customFormat="1" ht="12.75">
      <c r="I147" s="240"/>
      <c r="J147" s="240"/>
    </row>
    <row r="148" spans="3:20" s="239" customFormat="1" ht="12.75">
      <c r="C148" s="241" t="s">
        <v>136</v>
      </c>
      <c r="D148" s="241" t="s">
        <v>126</v>
      </c>
      <c r="E148" s="241" t="s">
        <v>130</v>
      </c>
      <c r="G148" s="241" t="s">
        <v>137</v>
      </c>
      <c r="H148" s="241" t="s">
        <v>129</v>
      </c>
      <c r="I148" s="241" t="s">
        <v>131</v>
      </c>
      <c r="K148" s="241" t="s">
        <v>138</v>
      </c>
      <c r="L148" s="239" t="s">
        <v>127</v>
      </c>
      <c r="M148" s="241" t="s">
        <v>132</v>
      </c>
      <c r="O148" s="241" t="s">
        <v>139</v>
      </c>
      <c r="P148" s="241" t="s">
        <v>133</v>
      </c>
      <c r="R148" s="241" t="s">
        <v>140</v>
      </c>
      <c r="S148" s="239" t="s">
        <v>128</v>
      </c>
      <c r="T148" s="241" t="s">
        <v>134</v>
      </c>
    </row>
    <row r="149" spans="2:20" s="239" customFormat="1" ht="12.75">
      <c r="B149" s="239" t="s">
        <v>100</v>
      </c>
      <c r="C149" s="242">
        <f>Välivarastohaketus!E38</f>
        <v>1.6516548260822588</v>
      </c>
      <c r="D149" s="242">
        <f>Välivarastohaketus!G38</f>
        <v>2.0166675076727607</v>
      </c>
      <c r="E149" s="242">
        <f>Välivarastohaketus!I38</f>
        <v>1.9968406857394099</v>
      </c>
      <c r="G149" s="242">
        <f aca="true" t="shared" si="1" ref="G149:I152">C149</f>
        <v>1.6516548260822588</v>
      </c>
      <c r="H149" s="242">
        <f t="shared" si="1"/>
        <v>2.0166675076727607</v>
      </c>
      <c r="I149" s="242">
        <f t="shared" si="1"/>
        <v>1.9968406857394099</v>
      </c>
      <c r="K149" s="242">
        <f>'Irtorisu &amp; käyttöpaikkahaketus'!E38</f>
        <v>1.6516548260822588</v>
      </c>
      <c r="L149" s="242">
        <f>'Irtorisu &amp; käyttöpaikkahaketus'!G38</f>
        <v>1.5854578246066628</v>
      </c>
      <c r="M149" s="242">
        <f>'Irtorisu &amp; käyttöpaikkahaketus'!I38</f>
        <v>1.5744320791406885</v>
      </c>
      <c r="O149" s="243">
        <f>Palstahaketus!E37</f>
        <v>1.6516548260822588</v>
      </c>
      <c r="P149" s="243">
        <f>Palstahaketus!G37</f>
        <v>1.5744320791406885</v>
      </c>
      <c r="R149" s="242">
        <f>'Risutukki &amp; terminaalihaketus'!E42</f>
        <v>1.156158378257581</v>
      </c>
      <c r="S149" s="242">
        <f>'Risutukki &amp; terminaalihaketus'!G42</f>
        <v>1.1008247196641012</v>
      </c>
      <c r="T149" s="242">
        <f>'Risutukki &amp; terminaalihaketus'!I42</f>
        <v>1.1136226901239017</v>
      </c>
    </row>
    <row r="150" spans="2:20" s="239" customFormat="1" ht="12.75">
      <c r="B150" s="239" t="s">
        <v>124</v>
      </c>
      <c r="C150" s="244">
        <v>0</v>
      </c>
      <c r="D150" s="244">
        <v>0</v>
      </c>
      <c r="E150" s="244">
        <v>0</v>
      </c>
      <c r="G150" s="242">
        <f t="shared" si="1"/>
        <v>0</v>
      </c>
      <c r="H150" s="242">
        <f t="shared" si="1"/>
        <v>0</v>
      </c>
      <c r="I150" s="242">
        <f t="shared" si="1"/>
        <v>0</v>
      </c>
      <c r="K150" s="244">
        <v>0</v>
      </c>
      <c r="L150" s="244">
        <v>0</v>
      </c>
      <c r="M150" s="244">
        <v>0</v>
      </c>
      <c r="O150" s="243">
        <v>0</v>
      </c>
      <c r="P150" s="243">
        <v>0</v>
      </c>
      <c r="R150" s="242">
        <f>'Risutukki &amp; terminaalihaketus'!E59</f>
        <v>3.6837522745512685</v>
      </c>
      <c r="S150" s="242">
        <f>'Risutukki &amp; terminaalihaketus'!G59</f>
        <v>3.568624571237072</v>
      </c>
      <c r="T150" s="242">
        <f>'Risutukki &amp; terminaalihaketus'!I59</f>
        <v>4.703984441415209</v>
      </c>
    </row>
    <row r="151" spans="2:20" s="239" customFormat="1" ht="12.75">
      <c r="B151" s="241" t="s">
        <v>135</v>
      </c>
      <c r="C151" s="244">
        <v>0</v>
      </c>
      <c r="D151" s="244">
        <v>0</v>
      </c>
      <c r="E151" s="244">
        <v>0</v>
      </c>
      <c r="G151" s="242">
        <f t="shared" si="1"/>
        <v>0</v>
      </c>
      <c r="H151" s="242">
        <f t="shared" si="1"/>
        <v>0</v>
      </c>
      <c r="I151" s="242">
        <f t="shared" si="1"/>
        <v>0</v>
      </c>
      <c r="K151" s="244">
        <v>0</v>
      </c>
      <c r="L151" s="244">
        <v>0</v>
      </c>
      <c r="M151" s="244">
        <v>0</v>
      </c>
      <c r="O151" s="243">
        <f>Palstahaketus!E49</f>
        <v>9.06152448664816</v>
      </c>
      <c r="P151" s="243">
        <f>Palstahaketus!G49</f>
        <v>9.63488854063693</v>
      </c>
      <c r="R151" s="244">
        <v>0</v>
      </c>
      <c r="S151" s="244">
        <v>0</v>
      </c>
      <c r="T151" s="244">
        <v>0</v>
      </c>
    </row>
    <row r="152" spans="2:20" s="239" customFormat="1" ht="12.75">
      <c r="B152" s="239" t="s">
        <v>11</v>
      </c>
      <c r="C152" s="245">
        <f>Välivarastohaketus!E52</f>
        <v>3.1446781610628594</v>
      </c>
      <c r="D152" s="245">
        <f>Välivarastohaketus!G52</f>
        <v>3.3171889902387264</v>
      </c>
      <c r="E152" s="245">
        <f>Välivarastohaketus!I52</f>
        <v>3.255631953967979</v>
      </c>
      <c r="G152" s="242">
        <f t="shared" si="1"/>
        <v>3.1446781610628594</v>
      </c>
      <c r="H152" s="242">
        <f t="shared" si="1"/>
        <v>3.3171889902387264</v>
      </c>
      <c r="I152" s="242">
        <f t="shared" si="1"/>
        <v>3.255631953967979</v>
      </c>
      <c r="K152" s="245">
        <f>'Irtorisu &amp; käyttöpaikkahaketus'!E52</f>
        <v>3.1446781610628594</v>
      </c>
      <c r="L152" s="245">
        <f>'Irtorisu &amp; käyttöpaikkahaketus'!G52</f>
        <v>3.3171889902387264</v>
      </c>
      <c r="M152" s="245">
        <f>'Irtorisu &amp; käyttöpaikkahaketus'!I52</f>
        <v>3.0224220259144916</v>
      </c>
      <c r="O152" s="246">
        <v>0</v>
      </c>
      <c r="P152" s="246">
        <v>0</v>
      </c>
      <c r="R152" s="242">
        <f>'Risutukki &amp; terminaalihaketus'!E70</f>
        <v>1.8960772554782694</v>
      </c>
      <c r="S152" s="242">
        <f>'Risutukki &amp; terminaalihaketus'!G70</f>
        <v>2.1189752738394314</v>
      </c>
      <c r="T152" s="242">
        <f>'Risutukki &amp; terminaalihaketus'!I70</f>
        <v>2.1762971758994145</v>
      </c>
    </row>
    <row r="153" spans="2:20" s="239" customFormat="1" ht="12.75">
      <c r="B153" s="241" t="s">
        <v>14</v>
      </c>
      <c r="C153" s="245">
        <f>Välivarastohaketus!E64</f>
        <v>3.0844832381163565</v>
      </c>
      <c r="D153" s="245">
        <f>Välivarastohaketus!G64</f>
        <v>3.8385939159874716</v>
      </c>
      <c r="E153" s="245">
        <f>Välivarastohaketus!I64</f>
        <v>3.80055532995447</v>
      </c>
      <c r="G153" s="242">
        <f>Välivarastohaketus!N64</f>
        <v>2.349294264799305</v>
      </c>
      <c r="H153" s="242">
        <f>Välivarastohaketus!P64</f>
        <v>2.252300166572331</v>
      </c>
      <c r="I153" s="242">
        <f>Välivarastohaketus!R64</f>
        <v>2.2332021924758956</v>
      </c>
      <c r="K153" s="242">
        <f>'Irtorisu &amp; käyttöpaikkahaketus'!E74</f>
        <v>0.9909928956493552</v>
      </c>
      <c r="L153" s="242">
        <f>'Irtorisu &amp; käyttöpaikkahaketus'!G74</f>
        <v>0.9408211266896681</v>
      </c>
      <c r="M153" s="242">
        <f>'Irtorisu &amp; käyttöpaikkahaketus'!I74</f>
        <v>0.9216187780335738</v>
      </c>
      <c r="O153" s="246">
        <v>0</v>
      </c>
      <c r="P153" s="246">
        <v>0</v>
      </c>
      <c r="R153" s="242">
        <f>'Risutukki &amp; terminaalihaketus'!E91</f>
        <v>1.4864893434740327</v>
      </c>
      <c r="S153" s="242">
        <f>'Risutukki &amp; terminaalihaketus'!G91</f>
        <v>1.4864893434740327</v>
      </c>
      <c r="T153" s="242">
        <f>'Risutukki &amp; terminaalihaketus'!I91</f>
        <v>1.4864893434740327</v>
      </c>
    </row>
    <row r="154" spans="2:20" s="239" customFormat="1" ht="12.75">
      <c r="B154" s="239" t="s">
        <v>125</v>
      </c>
      <c r="C154" s="245">
        <f>Välivarastohaketus!E76</f>
        <v>2.660243476334858</v>
      </c>
      <c r="D154" s="245">
        <f>Välivarastohaketus!G76</f>
        <v>2.788767168916158</v>
      </c>
      <c r="E154" s="242">
        <f>Välivarastohaketus!I76</f>
        <v>2.9374855364272374</v>
      </c>
      <c r="G154" s="242">
        <f>Välivarastohaketus!N76</f>
        <v>2.8449893656362804</v>
      </c>
      <c r="H154" s="242">
        <f>Välivarastohaketus!P76</f>
        <v>2.7009538737855134</v>
      </c>
      <c r="I154" s="242">
        <f>Välivarastohaketus!R76</f>
        <v>2.84498936563628</v>
      </c>
      <c r="K154" s="245">
        <f>'Irtorisu &amp; käyttöpaikkahaketus'!E66</f>
        <v>4.221617806944458</v>
      </c>
      <c r="L154" s="245">
        <f>'Irtorisu &amp; käyttöpaikkahaketus'!G66</f>
        <v>4.007886675090752</v>
      </c>
      <c r="M154" s="245">
        <f>'Irtorisu &amp; käyttöpaikkahaketus'!I66</f>
        <v>3.9260849009533043</v>
      </c>
      <c r="O154" s="243">
        <f>Palstahaketus!E62</f>
        <v>2.462995147752494</v>
      </c>
      <c r="P154" s="243">
        <f>Palstahaketus!G62</f>
        <v>2.462995147752494</v>
      </c>
      <c r="R154" s="242">
        <f>'Risutukki &amp; terminaalihaketus'!E83</f>
        <v>2.5297807368873606</v>
      </c>
      <c r="S154" s="242">
        <f>'Risutukki &amp; terminaalihaketus'!G83</f>
        <v>2.450717916040697</v>
      </c>
      <c r="T154" s="242">
        <f>'Risutukki &amp; terminaalihaketus'!I83</f>
        <v>3.1761385505731576</v>
      </c>
    </row>
    <row r="155" spans="9:10" s="239" customFormat="1" ht="12.75">
      <c r="I155" s="240"/>
      <c r="J155" s="240"/>
    </row>
    <row r="156" spans="9:10" s="239" customFormat="1" ht="12.75">
      <c r="I156" s="240"/>
      <c r="J156" s="240"/>
    </row>
    <row r="157" spans="9:10" s="239" customFormat="1" ht="12.75">
      <c r="I157" s="240"/>
      <c r="J157" s="240"/>
    </row>
    <row r="158" spans="9:10" s="5" customFormat="1" ht="12.75">
      <c r="I158" s="4"/>
      <c r="J158" s="4"/>
    </row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pans="9:10" s="5" customFormat="1" ht="12.75">
      <c r="I166" s="4"/>
      <c r="J166" s="4"/>
    </row>
    <row r="167" spans="9:10" s="5" customFormat="1" ht="12.75">
      <c r="I167" s="4"/>
      <c r="J167" s="4"/>
    </row>
    <row r="168" spans="9:10" s="5" customFormat="1" ht="12.75">
      <c r="I168" s="4"/>
      <c r="J168" s="4"/>
    </row>
    <row r="169" spans="9:10" s="5" customFormat="1" ht="12.75">
      <c r="I169" s="4"/>
      <c r="J169" s="4"/>
    </row>
    <row r="170" spans="9:10" s="5" customFormat="1" ht="12.75">
      <c r="I170" s="4"/>
      <c r="J170" s="4"/>
    </row>
    <row r="171" spans="9:10" s="5" customFormat="1" ht="12.75">
      <c r="I171" s="4"/>
      <c r="J171" s="4"/>
    </row>
    <row r="172" spans="9:10" s="5" customFormat="1" ht="12.75">
      <c r="I172" s="4"/>
      <c r="J172" s="4"/>
    </row>
    <row r="173" spans="9:10" s="5" customFormat="1" ht="12.75">
      <c r="I173" s="4"/>
      <c r="J173" s="4"/>
    </row>
    <row r="174" spans="9:10" s="5" customFormat="1" ht="12.75">
      <c r="I174" s="4"/>
      <c r="J174" s="4"/>
    </row>
    <row r="175" spans="9:10" s="5" customFormat="1" ht="12.75">
      <c r="I175" s="4"/>
      <c r="J175" s="4"/>
    </row>
    <row r="176" spans="9:10" s="5" customFormat="1" ht="12.75">
      <c r="I176" s="4"/>
      <c r="J176" s="4"/>
    </row>
    <row r="177" spans="9:10" s="5" customFormat="1" ht="12.75">
      <c r="I177" s="4"/>
      <c r="J177" s="4"/>
    </row>
    <row r="178" spans="9:10" s="5" customFormat="1" ht="12.75">
      <c r="I178" s="4"/>
      <c r="J178" s="4"/>
    </row>
    <row r="179" spans="9:10" s="5" customFormat="1" ht="12.75">
      <c r="I179" s="4"/>
      <c r="J179" s="4"/>
    </row>
    <row r="180" spans="9:10" s="5" customFormat="1" ht="12.75">
      <c r="I180" s="4"/>
      <c r="J180" s="4"/>
    </row>
    <row r="181" spans="9:10" s="5" customFormat="1" ht="12.75">
      <c r="I181" s="4"/>
      <c r="J181" s="4"/>
    </row>
    <row r="182" spans="9:10" s="5" customFormat="1" ht="12.75">
      <c r="I182" s="4"/>
      <c r="J182" s="4"/>
    </row>
    <row r="183" spans="9:10" s="5" customFormat="1" ht="12.75">
      <c r="I183" s="4"/>
      <c r="J183" s="4"/>
    </row>
    <row r="184" spans="9:10" s="5" customFormat="1" ht="12.75">
      <c r="I184" s="4"/>
      <c r="J184" s="4"/>
    </row>
    <row r="185" spans="9:10" s="5" customFormat="1" ht="12.75">
      <c r="I185" s="4"/>
      <c r="J185" s="4"/>
    </row>
    <row r="186" spans="9:10" s="5" customFormat="1" ht="12.75">
      <c r="I186" s="4"/>
      <c r="J186" s="4"/>
    </row>
    <row r="187" spans="9:10" s="5" customFormat="1" ht="12.75">
      <c r="I187" s="4"/>
      <c r="J187" s="4"/>
    </row>
    <row r="188" spans="9:10" s="5" customFormat="1" ht="12.75">
      <c r="I188" s="4"/>
      <c r="J188" s="4"/>
    </row>
    <row r="189" spans="9:10" s="5" customFormat="1" ht="12.75">
      <c r="I189" s="4"/>
      <c r="J189" s="4"/>
    </row>
    <row r="190" spans="9:10" s="5" customFormat="1" ht="12.75">
      <c r="I190" s="4"/>
      <c r="J190" s="4"/>
    </row>
    <row r="191" spans="9:10" s="5" customFormat="1" ht="12.75">
      <c r="I191" s="4"/>
      <c r="J191" s="4"/>
    </row>
    <row r="192" spans="9:10" s="5" customFormat="1" ht="12.75">
      <c r="I192" s="4"/>
      <c r="J192" s="4"/>
    </row>
    <row r="193" spans="9:10" s="5" customFormat="1" ht="12.75">
      <c r="I193" s="4"/>
      <c r="J193" s="4"/>
    </row>
    <row r="194" spans="9:10" s="5" customFormat="1" ht="12.75">
      <c r="I194" s="4"/>
      <c r="J194" s="4"/>
    </row>
    <row r="195" spans="9:10" s="5" customFormat="1" ht="12.75">
      <c r="I195" s="4"/>
      <c r="J195" s="4"/>
    </row>
    <row r="196" spans="9:10" s="5" customFormat="1" ht="12.75">
      <c r="I196" s="4"/>
      <c r="J196" s="4"/>
    </row>
    <row r="197" spans="9:10" s="5" customFormat="1" ht="12.75">
      <c r="I197" s="4"/>
      <c r="J197" s="4"/>
    </row>
    <row r="198" spans="9:10" s="5" customFormat="1" ht="12.75">
      <c r="I198" s="4"/>
      <c r="J198" s="4"/>
    </row>
    <row r="199" spans="9:10" s="5" customFormat="1" ht="12.75">
      <c r="I199" s="4"/>
      <c r="J199" s="4"/>
    </row>
    <row r="200" spans="9:10" s="5" customFormat="1" ht="12.75">
      <c r="I200" s="4"/>
      <c r="J200" s="4"/>
    </row>
    <row r="201" spans="9:10" s="5" customFormat="1" ht="12.75">
      <c r="I201" s="4"/>
      <c r="J201" s="4"/>
    </row>
    <row r="202" spans="9:10" s="5" customFormat="1" ht="12.75">
      <c r="I202" s="4"/>
      <c r="J202" s="4"/>
    </row>
    <row r="203" spans="9:10" s="5" customFormat="1" ht="12.75">
      <c r="I203" s="4"/>
      <c r="J203" s="4"/>
    </row>
    <row r="204" spans="9:10" s="5" customFormat="1" ht="12.75">
      <c r="I204" s="4"/>
      <c r="J204" s="4"/>
    </row>
    <row r="205" spans="9:10" s="5" customFormat="1" ht="12.75">
      <c r="I205" s="4"/>
      <c r="J205" s="4"/>
    </row>
    <row r="206" spans="9:10" s="5" customFormat="1" ht="12.75">
      <c r="I206" s="4"/>
      <c r="J206" s="4"/>
    </row>
    <row r="207" spans="9:10" s="5" customFormat="1" ht="12.75">
      <c r="I207" s="4"/>
      <c r="J207" s="4"/>
    </row>
    <row r="208" spans="9:10" s="5" customFormat="1" ht="12.75">
      <c r="I208" s="4"/>
      <c r="J208" s="4"/>
    </row>
    <row r="209" spans="9:10" s="5" customFormat="1" ht="12.75">
      <c r="I209" s="4"/>
      <c r="J209" s="4"/>
    </row>
    <row r="210" spans="9:10" s="5" customFormat="1" ht="12.75">
      <c r="I210" s="4"/>
      <c r="J210" s="4"/>
    </row>
    <row r="211" spans="9:10" s="5" customFormat="1" ht="12.75">
      <c r="I211" s="4"/>
      <c r="J211" s="4"/>
    </row>
    <row r="212" spans="9:10" s="5" customFormat="1" ht="12.75">
      <c r="I212" s="4"/>
      <c r="J212" s="4"/>
    </row>
    <row r="213" spans="9:10" s="5" customFormat="1" ht="12.75">
      <c r="I213" s="4"/>
      <c r="J213" s="4"/>
    </row>
    <row r="214" spans="9:10" s="5" customFormat="1" ht="12.75">
      <c r="I214" s="4"/>
      <c r="J214" s="4"/>
    </row>
    <row r="215" spans="9:10" s="5" customFormat="1" ht="12.75">
      <c r="I215" s="4"/>
      <c r="J215" s="4"/>
    </row>
    <row r="216" spans="9:10" s="5" customFormat="1" ht="12.75">
      <c r="I216" s="4"/>
      <c r="J216" s="4"/>
    </row>
    <row r="217" spans="9:10" s="5" customFormat="1" ht="12.75">
      <c r="I217" s="4"/>
      <c r="J217" s="4"/>
    </row>
    <row r="218" spans="9:10" s="5" customFormat="1" ht="12.75">
      <c r="I218" s="4"/>
      <c r="J218" s="4"/>
    </row>
    <row r="219" spans="9:10" s="5" customFormat="1" ht="12.75">
      <c r="I219" s="4"/>
      <c r="J219" s="4"/>
    </row>
    <row r="220" spans="9:10" s="5" customFormat="1" ht="12.75">
      <c r="I220" s="4"/>
      <c r="J220" s="4"/>
    </row>
    <row r="221" spans="9:10" s="5" customFormat="1" ht="12.75">
      <c r="I221" s="4"/>
      <c r="J221" s="4"/>
    </row>
    <row r="222" spans="9:10" s="5" customFormat="1" ht="12.75">
      <c r="I222" s="4"/>
      <c r="J222" s="4"/>
    </row>
    <row r="223" spans="9:10" s="5" customFormat="1" ht="12.75">
      <c r="I223" s="4"/>
      <c r="J223" s="4"/>
    </row>
    <row r="224" spans="9:10" s="5" customFormat="1" ht="12.75">
      <c r="I224" s="4"/>
      <c r="J224" s="4"/>
    </row>
    <row r="225" spans="9:10" s="5" customFormat="1" ht="12.75">
      <c r="I225" s="4"/>
      <c r="J225" s="4"/>
    </row>
    <row r="226" spans="9:10" s="5" customFormat="1" ht="12.75">
      <c r="I226" s="4"/>
      <c r="J226" s="4"/>
    </row>
    <row r="227" spans="9:10" s="5" customFormat="1" ht="12.75">
      <c r="I227" s="4"/>
      <c r="J227" s="4"/>
    </row>
    <row r="228" spans="9:10" s="5" customFormat="1" ht="12.75">
      <c r="I228" s="4"/>
      <c r="J228" s="4"/>
    </row>
    <row r="229" spans="9:10" s="5" customFormat="1" ht="12.75">
      <c r="I229" s="4"/>
      <c r="J229" s="4"/>
    </row>
    <row r="230" spans="9:10" s="5" customFormat="1" ht="12.75">
      <c r="I230" s="4"/>
      <c r="J230" s="4"/>
    </row>
    <row r="231" spans="9:10" s="5" customFormat="1" ht="12.75">
      <c r="I231" s="4"/>
      <c r="J231" s="4"/>
    </row>
    <row r="232" spans="9:10" s="5" customFormat="1" ht="12.75">
      <c r="I232" s="4"/>
      <c r="J232" s="4"/>
    </row>
    <row r="233" spans="9:10" s="5" customFormat="1" ht="12.75">
      <c r="I233" s="4"/>
      <c r="J233" s="4"/>
    </row>
    <row r="234" spans="9:10" s="5" customFormat="1" ht="12.75">
      <c r="I234" s="4"/>
      <c r="J234" s="4"/>
    </row>
    <row r="235" spans="9:10" s="5" customFormat="1" ht="12.75">
      <c r="I235" s="4"/>
      <c r="J235" s="4"/>
    </row>
    <row r="236" spans="9:10" s="5" customFormat="1" ht="12.75">
      <c r="I236" s="4"/>
      <c r="J236" s="4"/>
    </row>
    <row r="237" spans="9:10" s="5" customFormat="1" ht="12.75">
      <c r="I237" s="4"/>
      <c r="J237" s="4"/>
    </row>
    <row r="238" spans="9:10" s="5" customFormat="1" ht="12.75">
      <c r="I238" s="4"/>
      <c r="J238" s="4"/>
    </row>
    <row r="239" spans="9:10" s="5" customFormat="1" ht="12.75">
      <c r="I239" s="4"/>
      <c r="J239" s="4"/>
    </row>
    <row r="240" spans="9:10" s="5" customFormat="1" ht="12.75">
      <c r="I240" s="4"/>
      <c r="J240" s="4"/>
    </row>
    <row r="241" spans="9:10" s="5" customFormat="1" ht="12.75">
      <c r="I241" s="4"/>
      <c r="J241" s="4"/>
    </row>
    <row r="242" spans="9:10" s="5" customFormat="1" ht="12.75">
      <c r="I242" s="4"/>
      <c r="J242" s="4"/>
    </row>
    <row r="243" spans="9:10" s="5" customFormat="1" ht="12.75">
      <c r="I243" s="4"/>
      <c r="J243" s="4"/>
    </row>
    <row r="244" spans="9:10" s="5" customFormat="1" ht="12.75">
      <c r="I244" s="4"/>
      <c r="J244" s="4"/>
    </row>
    <row r="245" spans="9:10" s="5" customFormat="1" ht="12.75">
      <c r="I245" s="4"/>
      <c r="J245" s="4"/>
    </row>
    <row r="246" spans="9:10" s="5" customFormat="1" ht="12.75">
      <c r="I246" s="4"/>
      <c r="J246" s="4"/>
    </row>
    <row r="247" spans="9:10" s="5" customFormat="1" ht="12.75">
      <c r="I247" s="4"/>
      <c r="J247" s="4"/>
    </row>
    <row r="248" spans="9:10" s="5" customFormat="1" ht="12.75">
      <c r="I248" s="4"/>
      <c r="J248" s="4"/>
    </row>
    <row r="249" spans="9:10" s="5" customFormat="1" ht="12.75">
      <c r="I249" s="4"/>
      <c r="J249" s="4"/>
    </row>
    <row r="250" spans="9:10" s="5" customFormat="1" ht="12.75">
      <c r="I250" s="4"/>
      <c r="J250" s="4"/>
    </row>
    <row r="251" spans="9:10" s="5" customFormat="1" ht="12.75">
      <c r="I251" s="4"/>
      <c r="J251" s="4"/>
    </row>
    <row r="252" spans="9:10" s="5" customFormat="1" ht="12.75">
      <c r="I252" s="4"/>
      <c r="J252" s="4"/>
    </row>
    <row r="253" spans="9:10" s="5" customFormat="1" ht="12.75">
      <c r="I253" s="4"/>
      <c r="J253" s="4"/>
    </row>
    <row r="254" spans="9:10" s="5" customFormat="1" ht="12.75">
      <c r="I254" s="4"/>
      <c r="J254" s="4"/>
    </row>
    <row r="255" spans="9:10" s="5" customFormat="1" ht="12.75">
      <c r="I255" s="4"/>
      <c r="J255" s="4"/>
    </row>
    <row r="256" spans="9:10" s="5" customFormat="1" ht="12.75">
      <c r="I256" s="4"/>
      <c r="J256" s="4"/>
    </row>
    <row r="257" spans="9:10" s="5" customFormat="1" ht="12.75">
      <c r="I257" s="4"/>
      <c r="J257" s="4"/>
    </row>
    <row r="258" spans="9:10" s="5" customFormat="1" ht="12.75">
      <c r="I258" s="4"/>
      <c r="J258" s="4"/>
    </row>
    <row r="259" spans="9:10" s="5" customFormat="1" ht="12.75">
      <c r="I259" s="4"/>
      <c r="J259" s="4"/>
    </row>
    <row r="260" spans="9:10" s="5" customFormat="1" ht="12.75">
      <c r="I260" s="4"/>
      <c r="J260" s="4"/>
    </row>
    <row r="261" spans="9:10" s="5" customFormat="1" ht="12.75">
      <c r="I261" s="4"/>
      <c r="J261" s="4"/>
    </row>
    <row r="262" spans="9:10" s="5" customFormat="1" ht="12.75">
      <c r="I262" s="4"/>
      <c r="J262" s="4"/>
    </row>
    <row r="263" spans="9:10" s="5" customFormat="1" ht="12.75">
      <c r="I263" s="4"/>
      <c r="J263" s="4"/>
    </row>
    <row r="264" spans="9:10" s="5" customFormat="1" ht="12.75">
      <c r="I264" s="4"/>
      <c r="J264" s="4"/>
    </row>
    <row r="265" spans="9:10" s="5" customFormat="1" ht="12.75">
      <c r="I265" s="4"/>
      <c r="J265" s="4"/>
    </row>
    <row r="266" spans="9:10" s="5" customFormat="1" ht="12.75">
      <c r="I266" s="4"/>
      <c r="J266" s="4"/>
    </row>
    <row r="267" spans="9:10" s="5" customFormat="1" ht="12.75">
      <c r="I267" s="4"/>
      <c r="J267" s="4"/>
    </row>
    <row r="268" spans="9:10" s="5" customFormat="1" ht="12.75">
      <c r="I268" s="4"/>
      <c r="J268" s="4"/>
    </row>
    <row r="269" spans="9:10" s="5" customFormat="1" ht="12.75">
      <c r="I269" s="4"/>
      <c r="J269" s="4"/>
    </row>
    <row r="270" spans="9:10" s="5" customFormat="1" ht="12.75">
      <c r="I270" s="4"/>
      <c r="J270" s="4"/>
    </row>
    <row r="271" spans="9:10" s="5" customFormat="1" ht="12.75">
      <c r="I271" s="4"/>
      <c r="J271" s="4"/>
    </row>
    <row r="272" spans="9:10" s="5" customFormat="1" ht="12.75">
      <c r="I272" s="4"/>
      <c r="J272" s="4"/>
    </row>
    <row r="273" spans="9:10" s="5" customFormat="1" ht="12.75">
      <c r="I273" s="4"/>
      <c r="J273" s="4"/>
    </row>
    <row r="274" spans="9:10" s="5" customFormat="1" ht="12.75">
      <c r="I274" s="4"/>
      <c r="J274" s="4"/>
    </row>
    <row r="275" spans="9:10" s="5" customFormat="1" ht="12.75">
      <c r="I275" s="4"/>
      <c r="J275" s="4"/>
    </row>
    <row r="276" spans="9:10" s="5" customFormat="1" ht="12.75">
      <c r="I276" s="4"/>
      <c r="J276" s="4"/>
    </row>
    <row r="277" spans="9:10" s="5" customFormat="1" ht="12.75">
      <c r="I277" s="4"/>
      <c r="J277" s="4"/>
    </row>
    <row r="278" spans="9:10" s="5" customFormat="1" ht="12.75">
      <c r="I278" s="4"/>
      <c r="J278" s="4"/>
    </row>
    <row r="279" spans="9:10" s="5" customFormat="1" ht="12.75">
      <c r="I279" s="4"/>
      <c r="J279" s="4"/>
    </row>
    <row r="280" spans="9:10" s="5" customFormat="1" ht="12.75">
      <c r="I280" s="4"/>
      <c r="J280" s="4"/>
    </row>
    <row r="281" spans="9:10" s="5" customFormat="1" ht="12.75">
      <c r="I281" s="4"/>
      <c r="J281" s="4"/>
    </row>
    <row r="282" spans="9:10" s="5" customFormat="1" ht="12.75">
      <c r="I282" s="4"/>
      <c r="J282" s="4"/>
    </row>
    <row r="283" spans="9:10" s="5" customFormat="1" ht="12.75">
      <c r="I283" s="4"/>
      <c r="J283" s="4"/>
    </row>
    <row r="284" spans="9:10" s="5" customFormat="1" ht="12.75">
      <c r="I284" s="4"/>
      <c r="J284" s="4"/>
    </row>
    <row r="285" spans="9:10" s="5" customFormat="1" ht="12.75">
      <c r="I285" s="4"/>
      <c r="J285" s="4"/>
    </row>
    <row r="286" spans="9:10" s="5" customFormat="1" ht="12.75">
      <c r="I286" s="4"/>
      <c r="J286" s="4"/>
    </row>
    <row r="287" spans="9:10" s="5" customFormat="1" ht="12.75">
      <c r="I287" s="4"/>
      <c r="J287" s="4"/>
    </row>
    <row r="288" spans="9:10" s="5" customFormat="1" ht="12.75">
      <c r="I288" s="4"/>
      <c r="J288" s="4"/>
    </row>
    <row r="289" spans="9:10" s="5" customFormat="1" ht="12.75">
      <c r="I289" s="4"/>
      <c r="J289" s="4"/>
    </row>
    <row r="290" spans="9:10" s="5" customFormat="1" ht="12.75">
      <c r="I290" s="4"/>
      <c r="J290" s="4"/>
    </row>
    <row r="291" spans="9:10" s="5" customFormat="1" ht="12.75">
      <c r="I291" s="4"/>
      <c r="J291" s="4"/>
    </row>
    <row r="292" spans="9:10" s="5" customFormat="1" ht="12.75">
      <c r="I292" s="4"/>
      <c r="J292" s="4"/>
    </row>
    <row r="293" spans="9:10" s="5" customFormat="1" ht="12.75">
      <c r="I293" s="4"/>
      <c r="J293" s="4"/>
    </row>
    <row r="294" spans="9:10" s="5" customFormat="1" ht="12.75">
      <c r="I294" s="4"/>
      <c r="J294" s="4"/>
    </row>
    <row r="295" spans="9:10" s="5" customFormat="1" ht="12.75">
      <c r="I295" s="4"/>
      <c r="J295" s="4"/>
    </row>
    <row r="296" spans="9:10" s="5" customFormat="1" ht="12.75">
      <c r="I296" s="4"/>
      <c r="J296" s="4"/>
    </row>
    <row r="297" spans="9:10" s="5" customFormat="1" ht="12.75">
      <c r="I297" s="4"/>
      <c r="J297" s="4"/>
    </row>
    <row r="298" spans="9:10" s="5" customFormat="1" ht="12.75">
      <c r="I298" s="4"/>
      <c r="J298" s="4"/>
    </row>
    <row r="299" spans="9:10" s="5" customFormat="1" ht="12.75">
      <c r="I299" s="4"/>
      <c r="J299" s="4"/>
    </row>
    <row r="300" spans="9:10" s="5" customFormat="1" ht="12.75">
      <c r="I300" s="4"/>
      <c r="J300" s="4"/>
    </row>
    <row r="301" spans="9:10" s="5" customFormat="1" ht="12.75">
      <c r="I301" s="4"/>
      <c r="J301" s="4"/>
    </row>
    <row r="302" spans="9:10" s="5" customFormat="1" ht="12.75">
      <c r="I302" s="4"/>
      <c r="J302" s="4"/>
    </row>
    <row r="303" spans="9:10" s="5" customFormat="1" ht="12.75">
      <c r="I303" s="4"/>
      <c r="J303" s="4"/>
    </row>
    <row r="304" spans="9:10" s="5" customFormat="1" ht="12.75">
      <c r="I304" s="4"/>
      <c r="J304" s="4"/>
    </row>
    <row r="305" spans="9:10" s="5" customFormat="1" ht="12.75">
      <c r="I305" s="4"/>
      <c r="J305" s="4"/>
    </row>
    <row r="306" spans="9:10" s="5" customFormat="1" ht="12.75">
      <c r="I306" s="4"/>
      <c r="J306" s="4"/>
    </row>
    <row r="307" spans="9:10" s="5" customFormat="1" ht="12.75">
      <c r="I307" s="4"/>
      <c r="J307" s="4"/>
    </row>
    <row r="308" spans="9:10" s="5" customFormat="1" ht="12.75">
      <c r="I308" s="4"/>
      <c r="J308" s="4"/>
    </row>
    <row r="309" spans="9:10" s="5" customFormat="1" ht="12.75">
      <c r="I309" s="4"/>
      <c r="J309" s="4"/>
    </row>
    <row r="310" spans="9:10" s="5" customFormat="1" ht="12.75">
      <c r="I310" s="4"/>
      <c r="J310" s="4"/>
    </row>
    <row r="311" spans="9:10" s="5" customFormat="1" ht="12.75">
      <c r="I311" s="4"/>
      <c r="J311" s="4"/>
    </row>
    <row r="312" spans="9:10" s="5" customFormat="1" ht="12.75">
      <c r="I312" s="4"/>
      <c r="J312" s="4"/>
    </row>
    <row r="313" spans="9:10" s="5" customFormat="1" ht="12.75">
      <c r="I313" s="4"/>
      <c r="J313" s="4"/>
    </row>
    <row r="314" spans="9:10" s="5" customFormat="1" ht="12.75">
      <c r="I314" s="4"/>
      <c r="J314" s="4"/>
    </row>
    <row r="315" spans="9:10" s="5" customFormat="1" ht="12.75">
      <c r="I315" s="4"/>
      <c r="J315" s="4"/>
    </row>
    <row r="316" spans="9:10" s="5" customFormat="1" ht="12.75">
      <c r="I316" s="4"/>
      <c r="J316" s="4"/>
    </row>
    <row r="317" spans="9:10" s="5" customFormat="1" ht="12.75">
      <c r="I317" s="4"/>
      <c r="J317" s="4"/>
    </row>
    <row r="318" spans="9:10" s="5" customFormat="1" ht="12.75">
      <c r="I318" s="4"/>
      <c r="J318" s="4"/>
    </row>
    <row r="319" spans="9:10" s="5" customFormat="1" ht="12.75">
      <c r="I319" s="4"/>
      <c r="J319" s="4"/>
    </row>
    <row r="320" spans="9:10" s="5" customFormat="1" ht="12.75">
      <c r="I320" s="4"/>
      <c r="J320" s="4"/>
    </row>
    <row r="321" spans="9:10" s="5" customFormat="1" ht="12.75">
      <c r="I321" s="4"/>
      <c r="J321" s="4"/>
    </row>
    <row r="322" spans="9:10" s="5" customFormat="1" ht="12.75">
      <c r="I322" s="4"/>
      <c r="J322" s="4"/>
    </row>
    <row r="323" spans="9:10" s="5" customFormat="1" ht="12.75">
      <c r="I323" s="4"/>
      <c r="J323" s="4"/>
    </row>
    <row r="324" spans="9:10" s="5" customFormat="1" ht="12.75">
      <c r="I324" s="4"/>
      <c r="J324" s="4"/>
    </row>
    <row r="325" spans="9:10" s="5" customFormat="1" ht="12.75">
      <c r="I325" s="4"/>
      <c r="J325" s="4"/>
    </row>
    <row r="326" spans="9:10" s="5" customFormat="1" ht="12.75">
      <c r="I326" s="4"/>
      <c r="J326" s="4"/>
    </row>
    <row r="327" spans="9:10" s="5" customFormat="1" ht="12.75">
      <c r="I327" s="4"/>
      <c r="J327" s="4"/>
    </row>
    <row r="328" spans="9:10" s="5" customFormat="1" ht="12.75">
      <c r="I328" s="4"/>
      <c r="J328" s="4"/>
    </row>
    <row r="329" spans="9:10" s="5" customFormat="1" ht="12.75">
      <c r="I329" s="4"/>
      <c r="J329" s="4"/>
    </row>
    <row r="330" spans="9:10" s="5" customFormat="1" ht="12.75">
      <c r="I330" s="4"/>
      <c r="J330" s="4"/>
    </row>
    <row r="331" spans="9:10" s="5" customFormat="1" ht="12.75">
      <c r="I331" s="4"/>
      <c r="J331" s="4"/>
    </row>
    <row r="332" spans="9:10" s="5" customFormat="1" ht="12.75">
      <c r="I332" s="4"/>
      <c r="J332" s="4"/>
    </row>
    <row r="333" spans="9:10" s="5" customFormat="1" ht="12.75">
      <c r="I333" s="4"/>
      <c r="J333" s="4"/>
    </row>
    <row r="334" spans="9:10" s="5" customFormat="1" ht="12.75">
      <c r="I334" s="4"/>
      <c r="J334" s="4"/>
    </row>
    <row r="335" spans="9:10" s="5" customFormat="1" ht="12.75">
      <c r="I335" s="4"/>
      <c r="J335" s="4"/>
    </row>
    <row r="336" spans="9:10" s="5" customFormat="1" ht="12.75">
      <c r="I336" s="4"/>
      <c r="J336" s="4"/>
    </row>
    <row r="337" spans="9:10" s="5" customFormat="1" ht="12.75">
      <c r="I337" s="4"/>
      <c r="J337" s="4"/>
    </row>
    <row r="338" spans="9:10" s="5" customFormat="1" ht="12.75">
      <c r="I338" s="4"/>
      <c r="J338" s="4"/>
    </row>
    <row r="339" spans="9:10" s="5" customFormat="1" ht="12.75">
      <c r="I339" s="4"/>
      <c r="J339" s="4"/>
    </row>
    <row r="340" spans="9:10" s="5" customFormat="1" ht="12.75">
      <c r="I340" s="4"/>
      <c r="J340" s="4"/>
    </row>
    <row r="341" spans="9:10" s="5" customFormat="1" ht="12.75">
      <c r="I341" s="4"/>
      <c r="J341" s="4"/>
    </row>
    <row r="342" spans="9:10" s="5" customFormat="1" ht="12.75">
      <c r="I342" s="4"/>
      <c r="J342" s="4"/>
    </row>
    <row r="343" spans="9:10" s="5" customFormat="1" ht="12.75">
      <c r="I343" s="4"/>
      <c r="J343" s="4"/>
    </row>
    <row r="344" spans="9:10" s="5" customFormat="1" ht="12.75">
      <c r="I344" s="4"/>
      <c r="J344" s="4"/>
    </row>
    <row r="345" spans="9:10" s="5" customFormat="1" ht="12.75">
      <c r="I345" s="4"/>
      <c r="J345" s="4"/>
    </row>
    <row r="346" spans="9:10" s="5" customFormat="1" ht="12.75">
      <c r="I346" s="4"/>
      <c r="J346" s="4"/>
    </row>
    <row r="347" spans="9:10" s="5" customFormat="1" ht="12.75">
      <c r="I347" s="4"/>
      <c r="J347" s="4"/>
    </row>
    <row r="348" spans="9:10" s="5" customFormat="1" ht="12.75">
      <c r="I348" s="4"/>
      <c r="J348" s="4"/>
    </row>
    <row r="349" spans="9:10" s="5" customFormat="1" ht="12.75">
      <c r="I349" s="4"/>
      <c r="J349" s="4"/>
    </row>
    <row r="350" spans="9:10" s="5" customFormat="1" ht="12.75">
      <c r="I350" s="4"/>
      <c r="J350" s="4"/>
    </row>
    <row r="351" spans="9:10" s="5" customFormat="1" ht="12.75">
      <c r="I351" s="4"/>
      <c r="J351" s="4"/>
    </row>
    <row r="352" spans="9:10" s="5" customFormat="1" ht="12.75">
      <c r="I352" s="4"/>
      <c r="J352" s="4"/>
    </row>
    <row r="353" spans="9:10" s="5" customFormat="1" ht="12.75">
      <c r="I353" s="4"/>
      <c r="J353" s="4"/>
    </row>
    <row r="354" spans="9:10" s="5" customFormat="1" ht="12.75">
      <c r="I354" s="4"/>
      <c r="J354" s="4"/>
    </row>
    <row r="355" spans="9:10" s="5" customFormat="1" ht="12.75">
      <c r="I355" s="4"/>
      <c r="J355" s="4"/>
    </row>
    <row r="356" spans="9:10" s="5" customFormat="1" ht="12.75">
      <c r="I356" s="4"/>
      <c r="J356" s="4"/>
    </row>
    <row r="357" spans="9:10" s="5" customFormat="1" ht="12.75">
      <c r="I357" s="4"/>
      <c r="J357" s="4"/>
    </row>
    <row r="358" spans="9:10" s="5" customFormat="1" ht="12.75">
      <c r="I358" s="4"/>
      <c r="J358" s="4"/>
    </row>
    <row r="359" spans="9:10" s="5" customFormat="1" ht="12.75">
      <c r="I359" s="4"/>
      <c r="J359" s="4"/>
    </row>
    <row r="360" spans="9:10" s="5" customFormat="1" ht="12.75">
      <c r="I360" s="4"/>
      <c r="J360" s="4"/>
    </row>
    <row r="361" spans="9:10" s="5" customFormat="1" ht="12.75">
      <c r="I361" s="4"/>
      <c r="J361" s="4"/>
    </row>
    <row r="362" spans="9:10" s="5" customFormat="1" ht="12.75">
      <c r="I362" s="4"/>
      <c r="J362" s="4"/>
    </row>
    <row r="363" spans="9:10" s="5" customFormat="1" ht="12.75">
      <c r="I363" s="4"/>
      <c r="J363" s="4"/>
    </row>
    <row r="364" spans="9:10" s="5" customFormat="1" ht="12.75">
      <c r="I364" s="4"/>
      <c r="J364" s="4"/>
    </row>
    <row r="365" spans="9:10" s="5" customFormat="1" ht="12.75">
      <c r="I365" s="4"/>
      <c r="J365" s="4"/>
    </row>
    <row r="366" spans="9:10" s="5" customFormat="1" ht="12.75">
      <c r="I366" s="4"/>
      <c r="J366" s="4"/>
    </row>
    <row r="367" spans="9:10" s="5" customFormat="1" ht="12.75">
      <c r="I367" s="4"/>
      <c r="J367" s="4"/>
    </row>
    <row r="368" spans="9:10" s="5" customFormat="1" ht="12.75">
      <c r="I368" s="4"/>
      <c r="J368" s="4"/>
    </row>
    <row r="369" spans="9:10" s="5" customFormat="1" ht="12.75">
      <c r="I369" s="4"/>
      <c r="J369" s="4"/>
    </row>
    <row r="370" spans="9:10" s="5" customFormat="1" ht="12.75">
      <c r="I370" s="4"/>
      <c r="J370" s="4"/>
    </row>
    <row r="371" spans="9:10" s="5" customFormat="1" ht="12.75">
      <c r="I371" s="4"/>
      <c r="J371" s="4"/>
    </row>
    <row r="372" spans="9:10" s="5" customFormat="1" ht="12.75">
      <c r="I372" s="4"/>
      <c r="J372" s="4"/>
    </row>
    <row r="373" spans="9:10" s="5" customFormat="1" ht="12.75">
      <c r="I373" s="4"/>
      <c r="J373" s="4"/>
    </row>
    <row r="374" spans="9:10" s="5" customFormat="1" ht="12.75">
      <c r="I374" s="4"/>
      <c r="J374" s="4"/>
    </row>
    <row r="375" spans="9:10" s="5" customFormat="1" ht="12.75">
      <c r="I375" s="4"/>
      <c r="J375" s="4"/>
    </row>
    <row r="376" spans="9:10" s="5" customFormat="1" ht="12.75">
      <c r="I376" s="4"/>
      <c r="J376" s="4"/>
    </row>
    <row r="377" spans="9:10" s="5" customFormat="1" ht="12.75">
      <c r="I377" s="4"/>
      <c r="J377" s="4"/>
    </row>
    <row r="378" spans="9:10" s="5" customFormat="1" ht="12.75">
      <c r="I378" s="4"/>
      <c r="J378" s="4"/>
    </row>
    <row r="379" spans="9:10" s="5" customFormat="1" ht="12.75">
      <c r="I379" s="4"/>
      <c r="J379" s="4"/>
    </row>
    <row r="380" spans="9:10" s="5" customFormat="1" ht="12.75">
      <c r="I380" s="4"/>
      <c r="J380" s="4"/>
    </row>
    <row r="381" spans="9:10" s="5" customFormat="1" ht="12.75">
      <c r="I381" s="4"/>
      <c r="J381" s="4"/>
    </row>
    <row r="382" spans="9:10" s="5" customFormat="1" ht="12.75">
      <c r="I382" s="4"/>
      <c r="J382" s="4"/>
    </row>
    <row r="383" spans="9:10" s="5" customFormat="1" ht="12.75">
      <c r="I383" s="4"/>
      <c r="J383" s="4"/>
    </row>
    <row r="384" spans="9:10" s="5" customFormat="1" ht="12.75">
      <c r="I384" s="4"/>
      <c r="J384" s="4"/>
    </row>
    <row r="385" spans="9:10" s="5" customFormat="1" ht="12.75">
      <c r="I385" s="4"/>
      <c r="J385" s="4"/>
    </row>
    <row r="386" spans="9:10" s="5" customFormat="1" ht="12.75">
      <c r="I386" s="4"/>
      <c r="J386" s="4"/>
    </row>
    <row r="387" spans="9:10" s="5" customFormat="1" ht="12.75">
      <c r="I387" s="4"/>
      <c r="J387" s="4"/>
    </row>
    <row r="388" spans="9:10" s="5" customFormat="1" ht="12.75">
      <c r="I388" s="4"/>
      <c r="J388" s="4"/>
    </row>
    <row r="389" spans="9:10" s="5" customFormat="1" ht="12.75">
      <c r="I389" s="4"/>
      <c r="J389" s="4"/>
    </row>
    <row r="390" spans="9:10" s="5" customFormat="1" ht="12.75">
      <c r="I390" s="4"/>
      <c r="J390" s="4"/>
    </row>
    <row r="391" spans="9:10" s="5" customFormat="1" ht="12.75">
      <c r="I391" s="4"/>
      <c r="J391" s="4"/>
    </row>
    <row r="392" spans="9:10" s="5" customFormat="1" ht="12.75">
      <c r="I392" s="4"/>
      <c r="J392" s="4"/>
    </row>
    <row r="393" spans="9:10" s="5" customFormat="1" ht="12.75">
      <c r="I393" s="4"/>
      <c r="J393" s="4"/>
    </row>
    <row r="394" spans="9:10" s="5" customFormat="1" ht="12.75">
      <c r="I394" s="4"/>
      <c r="J394" s="4"/>
    </row>
    <row r="395" spans="9:10" s="5" customFormat="1" ht="12.75">
      <c r="I395" s="4"/>
      <c r="J395" s="4"/>
    </row>
    <row r="396" spans="9:10" s="5" customFormat="1" ht="12.75">
      <c r="I396" s="4"/>
      <c r="J396" s="4"/>
    </row>
    <row r="397" spans="9:10" s="5" customFormat="1" ht="12.75">
      <c r="I397" s="4"/>
      <c r="J397" s="4"/>
    </row>
    <row r="398" spans="9:10" s="5" customFormat="1" ht="12.75">
      <c r="I398" s="4"/>
      <c r="J398" s="4"/>
    </row>
    <row r="399" spans="9:10" s="5" customFormat="1" ht="12.75">
      <c r="I399" s="4"/>
      <c r="J399" s="4"/>
    </row>
    <row r="400" spans="9:10" s="5" customFormat="1" ht="12.75">
      <c r="I400" s="4"/>
      <c r="J400" s="4"/>
    </row>
    <row r="401" spans="9:10" s="5" customFormat="1" ht="12.75">
      <c r="I401" s="4"/>
      <c r="J401" s="4"/>
    </row>
    <row r="402" spans="9:10" s="5" customFormat="1" ht="12.75">
      <c r="I402" s="4"/>
      <c r="J402" s="4"/>
    </row>
    <row r="403" spans="9:10" s="5" customFormat="1" ht="12.75">
      <c r="I403" s="4"/>
      <c r="J403" s="4"/>
    </row>
    <row r="404" spans="9:10" s="5" customFormat="1" ht="12.75">
      <c r="I404" s="4"/>
      <c r="J404" s="4"/>
    </row>
    <row r="405" spans="9:10" s="5" customFormat="1" ht="12.75">
      <c r="I405" s="4"/>
      <c r="J405" s="4"/>
    </row>
    <row r="406" spans="9:10" s="5" customFormat="1" ht="12.75">
      <c r="I406" s="4"/>
      <c r="J406" s="4"/>
    </row>
    <row r="407" spans="9:10" s="5" customFormat="1" ht="12.75">
      <c r="I407" s="4"/>
      <c r="J407" s="4"/>
    </row>
    <row r="408" spans="9:10" s="5" customFormat="1" ht="12.75">
      <c r="I408" s="4"/>
      <c r="J408" s="4"/>
    </row>
    <row r="409" spans="9:10" s="5" customFormat="1" ht="12.75">
      <c r="I409" s="4"/>
      <c r="J409" s="4"/>
    </row>
    <row r="410" spans="9:10" s="5" customFormat="1" ht="12.75">
      <c r="I410" s="4"/>
      <c r="J410" s="4"/>
    </row>
    <row r="411" spans="9:10" s="5" customFormat="1" ht="12.75">
      <c r="I411" s="4"/>
      <c r="J411" s="4"/>
    </row>
    <row r="412" spans="9:10" s="5" customFormat="1" ht="12.75">
      <c r="I412" s="4"/>
      <c r="J412" s="4"/>
    </row>
    <row r="413" spans="9:10" s="5" customFormat="1" ht="12.75">
      <c r="I413" s="4"/>
      <c r="J413" s="4"/>
    </row>
    <row r="414" spans="9:10" s="5" customFormat="1" ht="12.75">
      <c r="I414" s="4"/>
      <c r="J414" s="4"/>
    </row>
    <row r="415" spans="9:10" s="5" customFormat="1" ht="12.75">
      <c r="I415" s="4"/>
      <c r="J415" s="4"/>
    </row>
    <row r="416" spans="9:10" s="5" customFormat="1" ht="12.75">
      <c r="I416" s="4"/>
      <c r="J416" s="4"/>
    </row>
    <row r="417" spans="9:10" s="5" customFormat="1" ht="12.75">
      <c r="I417" s="4"/>
      <c r="J417" s="4"/>
    </row>
    <row r="418" spans="9:10" s="5" customFormat="1" ht="12.75">
      <c r="I418" s="4"/>
      <c r="J418" s="4"/>
    </row>
    <row r="419" spans="9:10" s="5" customFormat="1" ht="12.75">
      <c r="I419" s="4"/>
      <c r="J419" s="4"/>
    </row>
    <row r="420" spans="9:10" s="5" customFormat="1" ht="12.75">
      <c r="I420" s="4"/>
      <c r="J420" s="4"/>
    </row>
    <row r="421" spans="9:10" s="5" customFormat="1" ht="12.75">
      <c r="I421" s="4"/>
      <c r="J421" s="4"/>
    </row>
    <row r="422" spans="9:10" s="5" customFormat="1" ht="12.75">
      <c r="I422" s="4"/>
      <c r="J422" s="4"/>
    </row>
    <row r="423" spans="9:10" s="5" customFormat="1" ht="12.75">
      <c r="I423" s="4"/>
      <c r="J423" s="4"/>
    </row>
    <row r="424" spans="9:10" s="5" customFormat="1" ht="12.75">
      <c r="I424" s="4"/>
      <c r="J424" s="4"/>
    </row>
    <row r="425" spans="9:10" s="5" customFormat="1" ht="12.75">
      <c r="I425" s="4"/>
      <c r="J425" s="4"/>
    </row>
    <row r="426" spans="9:10" s="5" customFormat="1" ht="12.75">
      <c r="I426" s="4"/>
      <c r="J426" s="4"/>
    </row>
    <row r="427" spans="9:10" s="5" customFormat="1" ht="12.75">
      <c r="I427" s="4"/>
      <c r="J427" s="4"/>
    </row>
    <row r="428" spans="9:10" s="5" customFormat="1" ht="12.75">
      <c r="I428" s="4"/>
      <c r="J428" s="4"/>
    </row>
    <row r="429" spans="9:10" s="5" customFormat="1" ht="12.75">
      <c r="I429" s="4"/>
      <c r="J429" s="4"/>
    </row>
    <row r="430" spans="9:10" s="5" customFormat="1" ht="12.75">
      <c r="I430" s="4"/>
      <c r="J430" s="4"/>
    </row>
    <row r="431" spans="9:10" s="5" customFormat="1" ht="12.75">
      <c r="I431" s="4"/>
      <c r="J431" s="4"/>
    </row>
    <row r="432" spans="9:10" s="5" customFormat="1" ht="12.75">
      <c r="I432" s="4"/>
      <c r="J432" s="4"/>
    </row>
    <row r="433" spans="9:10" s="5" customFormat="1" ht="12.75">
      <c r="I433" s="4"/>
      <c r="J433" s="4"/>
    </row>
    <row r="434" spans="9:10" s="5" customFormat="1" ht="12.75">
      <c r="I434" s="4"/>
      <c r="J434" s="4"/>
    </row>
    <row r="435" spans="9:10" s="5" customFormat="1" ht="12.75">
      <c r="I435" s="4"/>
      <c r="J435" s="4"/>
    </row>
    <row r="436" spans="9:10" s="5" customFormat="1" ht="12.75">
      <c r="I436" s="4"/>
      <c r="J436" s="4"/>
    </row>
    <row r="437" spans="9:10" s="5" customFormat="1" ht="12.75">
      <c r="I437" s="4"/>
      <c r="J437" s="4"/>
    </row>
    <row r="438" spans="9:10" s="5" customFormat="1" ht="12.75">
      <c r="I438" s="4"/>
      <c r="J438" s="4"/>
    </row>
    <row r="439" spans="9:10" s="5" customFormat="1" ht="12.75">
      <c r="I439" s="4"/>
      <c r="J439" s="4"/>
    </row>
    <row r="440" spans="9:10" s="5" customFormat="1" ht="12.75">
      <c r="I440" s="4"/>
      <c r="J440" s="4"/>
    </row>
    <row r="441" spans="9:10" s="5" customFormat="1" ht="12.75">
      <c r="I441" s="4"/>
      <c r="J441" s="4"/>
    </row>
    <row r="442" spans="9:10" s="5" customFormat="1" ht="12.75">
      <c r="I442" s="4"/>
      <c r="J442" s="4"/>
    </row>
    <row r="443" spans="9:10" s="5" customFormat="1" ht="12.75">
      <c r="I443" s="4"/>
      <c r="J443" s="4"/>
    </row>
    <row r="444" spans="9:10" s="5" customFormat="1" ht="12.75">
      <c r="I444" s="4"/>
      <c r="J444" s="4"/>
    </row>
    <row r="445" spans="9:10" s="5" customFormat="1" ht="12.75">
      <c r="I445" s="4"/>
      <c r="J445" s="4"/>
    </row>
    <row r="446" spans="9:10" s="5" customFormat="1" ht="12.75">
      <c r="I446" s="4"/>
      <c r="J446" s="4"/>
    </row>
    <row r="447" spans="9:10" s="5" customFormat="1" ht="12.75">
      <c r="I447" s="4"/>
      <c r="J447" s="4"/>
    </row>
    <row r="448" spans="9:10" s="5" customFormat="1" ht="12.75">
      <c r="I448" s="4"/>
      <c r="J448" s="4"/>
    </row>
    <row r="449" spans="9:10" s="5" customFormat="1" ht="12.75">
      <c r="I449" s="4"/>
      <c r="J449" s="4"/>
    </row>
    <row r="450" spans="9:10" s="5" customFormat="1" ht="12.75">
      <c r="I450" s="4"/>
      <c r="J450" s="4"/>
    </row>
    <row r="451" spans="9:10" s="5" customFormat="1" ht="12.75">
      <c r="I451" s="4"/>
      <c r="J451" s="4"/>
    </row>
    <row r="452" spans="9:10" s="5" customFormat="1" ht="12.75">
      <c r="I452" s="4"/>
      <c r="J452" s="4"/>
    </row>
    <row r="453" spans="9:10" s="5" customFormat="1" ht="12.75">
      <c r="I453" s="4"/>
      <c r="J453" s="4"/>
    </row>
    <row r="454" spans="9:10" s="5" customFormat="1" ht="12.75">
      <c r="I454" s="4"/>
      <c r="J454" s="4"/>
    </row>
    <row r="455" spans="9:10" s="5" customFormat="1" ht="12.75">
      <c r="I455" s="4"/>
      <c r="J455" s="4"/>
    </row>
    <row r="456" spans="9:10" s="5" customFormat="1" ht="12.75">
      <c r="I456" s="4"/>
      <c r="J456" s="4"/>
    </row>
    <row r="457" spans="9:10" s="5" customFormat="1" ht="12.75">
      <c r="I457" s="4"/>
      <c r="J457" s="4"/>
    </row>
    <row r="458" spans="9:10" s="5" customFormat="1" ht="12.75">
      <c r="I458" s="4"/>
      <c r="J458" s="4"/>
    </row>
    <row r="459" spans="9:10" s="5" customFormat="1" ht="12.75">
      <c r="I459" s="4"/>
      <c r="J459" s="4"/>
    </row>
    <row r="460" spans="9:10" s="5" customFormat="1" ht="12.75">
      <c r="I460" s="4"/>
      <c r="J460" s="4"/>
    </row>
    <row r="461" spans="9:10" s="5" customFormat="1" ht="12.75">
      <c r="I461" s="4"/>
      <c r="J461" s="4"/>
    </row>
    <row r="462" spans="9:10" s="5" customFormat="1" ht="12.75">
      <c r="I462" s="4"/>
      <c r="J462" s="4"/>
    </row>
    <row r="463" spans="9:10" s="5" customFormat="1" ht="12.75">
      <c r="I463" s="4"/>
      <c r="J463" s="4"/>
    </row>
    <row r="464" spans="9:10" s="5" customFormat="1" ht="12.75">
      <c r="I464" s="4"/>
      <c r="J464" s="4"/>
    </row>
    <row r="465" spans="9:10" s="5" customFormat="1" ht="12.75">
      <c r="I465" s="4"/>
      <c r="J465" s="4"/>
    </row>
    <row r="466" spans="9:10" s="5" customFormat="1" ht="12.75">
      <c r="I466" s="4"/>
      <c r="J466" s="4"/>
    </row>
    <row r="467" spans="9:10" s="5" customFormat="1" ht="12.75">
      <c r="I467" s="4"/>
      <c r="J467" s="4"/>
    </row>
    <row r="468" spans="9:10" s="5" customFormat="1" ht="12.75">
      <c r="I468" s="4"/>
      <c r="J468" s="4"/>
    </row>
    <row r="469" spans="9:10" s="5" customFormat="1" ht="12.75">
      <c r="I469" s="4"/>
      <c r="J469" s="4"/>
    </row>
    <row r="470" spans="9:10" s="5" customFormat="1" ht="12.75">
      <c r="I470" s="4"/>
      <c r="J470" s="4"/>
    </row>
    <row r="471" spans="9:10" s="5" customFormat="1" ht="12.75">
      <c r="I471" s="4"/>
      <c r="J471" s="4"/>
    </row>
    <row r="472" spans="9:10" s="5" customFormat="1" ht="12.75">
      <c r="I472" s="4"/>
      <c r="J472" s="4"/>
    </row>
    <row r="473" spans="9:10" s="5" customFormat="1" ht="12.75">
      <c r="I473" s="4"/>
      <c r="J473" s="4"/>
    </row>
    <row r="474" spans="9:10" s="5" customFormat="1" ht="12.75">
      <c r="I474" s="4"/>
      <c r="J474" s="4"/>
    </row>
    <row r="475" spans="9:10" s="5" customFormat="1" ht="12.75">
      <c r="I475" s="4"/>
      <c r="J475" s="4"/>
    </row>
    <row r="476" spans="9:10" s="5" customFormat="1" ht="12.75">
      <c r="I476" s="4"/>
      <c r="J476" s="4"/>
    </row>
    <row r="477" spans="9:10" s="5" customFormat="1" ht="12.75">
      <c r="I477" s="4"/>
      <c r="J477" s="4"/>
    </row>
    <row r="478" spans="9:10" s="5" customFormat="1" ht="12.75">
      <c r="I478" s="4"/>
      <c r="J478" s="4"/>
    </row>
    <row r="479" spans="9:10" s="5" customFormat="1" ht="12.75">
      <c r="I479" s="4"/>
      <c r="J479" s="4"/>
    </row>
    <row r="480" spans="9:10" s="5" customFormat="1" ht="12.75">
      <c r="I480" s="4"/>
      <c r="J480" s="4"/>
    </row>
    <row r="481" spans="9:10" s="5" customFormat="1" ht="12.75">
      <c r="I481" s="4"/>
      <c r="J481" s="4"/>
    </row>
    <row r="482" spans="9:10" s="5" customFormat="1" ht="12.75">
      <c r="I482" s="4"/>
      <c r="J482" s="4"/>
    </row>
    <row r="483" spans="9:10" s="5" customFormat="1" ht="12.75">
      <c r="I483" s="4"/>
      <c r="J483" s="4"/>
    </row>
    <row r="484" spans="9:10" s="5" customFormat="1" ht="12.75">
      <c r="I484" s="4"/>
      <c r="J484" s="4"/>
    </row>
    <row r="485" spans="9:10" s="5" customFormat="1" ht="12.75">
      <c r="I485" s="4"/>
      <c r="J485" s="4"/>
    </row>
    <row r="486" spans="9:10" s="5" customFormat="1" ht="12.75">
      <c r="I486" s="4"/>
      <c r="J486" s="4"/>
    </row>
    <row r="487" spans="9:10" s="5" customFormat="1" ht="12.75">
      <c r="I487" s="4"/>
      <c r="J487" s="4"/>
    </row>
    <row r="488" spans="9:10" s="5" customFormat="1" ht="12.75">
      <c r="I488" s="4"/>
      <c r="J488" s="4"/>
    </row>
    <row r="489" spans="9:10" s="5" customFormat="1" ht="12.75">
      <c r="I489" s="4"/>
      <c r="J489" s="4"/>
    </row>
    <row r="490" spans="9:10" s="5" customFormat="1" ht="12.75">
      <c r="I490" s="4"/>
      <c r="J490" s="4"/>
    </row>
    <row r="491" spans="9:10" s="5" customFormat="1" ht="12.75">
      <c r="I491" s="4"/>
      <c r="J491" s="4"/>
    </row>
    <row r="492" spans="9:10" s="5" customFormat="1" ht="12.75">
      <c r="I492" s="4"/>
      <c r="J492" s="4"/>
    </row>
    <row r="493" spans="9:10" s="5" customFormat="1" ht="12.75">
      <c r="I493" s="4"/>
      <c r="J493" s="4"/>
    </row>
    <row r="494" spans="9:10" s="5" customFormat="1" ht="12.75">
      <c r="I494" s="4"/>
      <c r="J494" s="4"/>
    </row>
    <row r="495" spans="9:10" s="5" customFormat="1" ht="12.75">
      <c r="I495" s="4"/>
      <c r="J495" s="4"/>
    </row>
    <row r="496" spans="9:10" s="5" customFormat="1" ht="12.75">
      <c r="I496" s="4"/>
      <c r="J496" s="4"/>
    </row>
    <row r="497" spans="9:10" s="5" customFormat="1" ht="12.75">
      <c r="I497" s="4"/>
      <c r="J497" s="4"/>
    </row>
    <row r="498" spans="9:10" s="5" customFormat="1" ht="12.75">
      <c r="I498" s="4"/>
      <c r="J498" s="4"/>
    </row>
    <row r="499" spans="9:10" s="5" customFormat="1" ht="12.75">
      <c r="I499" s="4"/>
      <c r="J499" s="4"/>
    </row>
    <row r="500" spans="9:10" s="5" customFormat="1" ht="12.75">
      <c r="I500" s="4"/>
      <c r="J500" s="4"/>
    </row>
    <row r="501" spans="9:10" s="5" customFormat="1" ht="12.75">
      <c r="I501" s="4"/>
      <c r="J501" s="4"/>
    </row>
    <row r="502" spans="9:10" s="5" customFormat="1" ht="12.75">
      <c r="I502" s="4"/>
      <c r="J502" s="4"/>
    </row>
    <row r="503" spans="9:10" s="5" customFormat="1" ht="12.75">
      <c r="I503" s="4"/>
      <c r="J503" s="4"/>
    </row>
    <row r="504" spans="9:10" s="5" customFormat="1" ht="12.75">
      <c r="I504" s="4"/>
      <c r="J504" s="4"/>
    </row>
    <row r="505" spans="9:10" s="5" customFormat="1" ht="12.75">
      <c r="I505" s="4"/>
      <c r="J505" s="4"/>
    </row>
    <row r="506" spans="9:10" s="5" customFormat="1" ht="12.75">
      <c r="I506" s="4"/>
      <c r="J506" s="4"/>
    </row>
    <row r="507" spans="9:10" s="5" customFormat="1" ht="12.75">
      <c r="I507" s="4"/>
      <c r="J507" s="4"/>
    </row>
    <row r="508" spans="9:10" s="5" customFormat="1" ht="12.75">
      <c r="I508" s="4"/>
      <c r="J508" s="4"/>
    </row>
    <row r="509" spans="9:10" s="5" customFormat="1" ht="12.75">
      <c r="I509" s="4"/>
      <c r="J509" s="4"/>
    </row>
    <row r="510" spans="9:10" s="5" customFormat="1" ht="12.75">
      <c r="I510" s="4"/>
      <c r="J510" s="4"/>
    </row>
    <row r="511" spans="9:10" s="5" customFormat="1" ht="12.75">
      <c r="I511" s="4"/>
      <c r="J511" s="4"/>
    </row>
    <row r="512" spans="9:10" s="5" customFormat="1" ht="12.75">
      <c r="I512" s="4"/>
      <c r="J512" s="4"/>
    </row>
    <row r="513" spans="9:10" s="5" customFormat="1" ht="12.75">
      <c r="I513" s="4"/>
      <c r="J513" s="4"/>
    </row>
    <row r="514" spans="9:10" s="5" customFormat="1" ht="12.75">
      <c r="I514" s="4"/>
      <c r="J514" s="4"/>
    </row>
    <row r="515" spans="9:10" s="5" customFormat="1" ht="12.75">
      <c r="I515" s="4"/>
      <c r="J515" s="4"/>
    </row>
    <row r="516" spans="9:10" s="5" customFormat="1" ht="12.75">
      <c r="I516" s="4"/>
      <c r="J516" s="4"/>
    </row>
    <row r="517" spans="9:10" s="5" customFormat="1" ht="12.75">
      <c r="I517" s="4"/>
      <c r="J517" s="4"/>
    </row>
    <row r="518" spans="9:10" s="5" customFormat="1" ht="12.75">
      <c r="I518" s="4"/>
      <c r="J518" s="4"/>
    </row>
    <row r="519" spans="9:10" s="5" customFormat="1" ht="12.75">
      <c r="I519" s="4"/>
      <c r="J519" s="4"/>
    </row>
    <row r="520" spans="9:10" s="5" customFormat="1" ht="12.75">
      <c r="I520" s="4"/>
      <c r="J520" s="4"/>
    </row>
    <row r="521" spans="9:10" s="5" customFormat="1" ht="12.75">
      <c r="I521" s="4"/>
      <c r="J521" s="4"/>
    </row>
    <row r="522" spans="9:10" s="5" customFormat="1" ht="12.75">
      <c r="I522" s="4"/>
      <c r="J522" s="4"/>
    </row>
    <row r="523" spans="9:10" s="5" customFormat="1" ht="12.75">
      <c r="I523" s="4"/>
      <c r="J523" s="4"/>
    </row>
    <row r="524" spans="9:10" s="5" customFormat="1" ht="12.75">
      <c r="I524" s="4"/>
      <c r="J524" s="4"/>
    </row>
    <row r="525" spans="9:10" s="5" customFormat="1" ht="12.75">
      <c r="I525" s="4"/>
      <c r="J525" s="4"/>
    </row>
    <row r="526" spans="9:10" s="5" customFormat="1" ht="12.75">
      <c r="I526" s="4"/>
      <c r="J526" s="4"/>
    </row>
    <row r="527" spans="9:10" s="5" customFormat="1" ht="12.75">
      <c r="I527" s="4"/>
      <c r="J527" s="4"/>
    </row>
    <row r="528" spans="9:10" s="5" customFormat="1" ht="12.75">
      <c r="I528" s="4"/>
      <c r="J528" s="4"/>
    </row>
    <row r="529" spans="9:10" s="5" customFormat="1" ht="12.75">
      <c r="I529" s="4"/>
      <c r="J529" s="4"/>
    </row>
    <row r="530" spans="9:10" s="5" customFormat="1" ht="12.75">
      <c r="I530" s="4"/>
      <c r="J530" s="4"/>
    </row>
    <row r="531" spans="9:10" s="5" customFormat="1" ht="12.75">
      <c r="I531" s="4"/>
      <c r="J531" s="4"/>
    </row>
    <row r="532" spans="9:10" s="5" customFormat="1" ht="12.75">
      <c r="I532" s="4"/>
      <c r="J532" s="4"/>
    </row>
    <row r="533" spans="9:10" s="5" customFormat="1" ht="12.75">
      <c r="I533" s="4"/>
      <c r="J533" s="4"/>
    </row>
    <row r="534" spans="9:10" s="5" customFormat="1" ht="12.75">
      <c r="I534" s="4"/>
      <c r="J534" s="4"/>
    </row>
    <row r="535" spans="9:10" s="5" customFormat="1" ht="12.75">
      <c r="I535" s="4"/>
      <c r="J535" s="4"/>
    </row>
    <row r="536" spans="9:10" s="5" customFormat="1" ht="12.75">
      <c r="I536" s="4"/>
      <c r="J536" s="4"/>
    </row>
    <row r="537" spans="9:10" s="5" customFormat="1" ht="12.75">
      <c r="I537" s="4"/>
      <c r="J537" s="4"/>
    </row>
    <row r="538" spans="9:10" s="5" customFormat="1" ht="12.75">
      <c r="I538" s="4"/>
      <c r="J538" s="4"/>
    </row>
    <row r="539" spans="9:10" s="5" customFormat="1" ht="12.75">
      <c r="I539" s="4"/>
      <c r="J539" s="4"/>
    </row>
    <row r="540" spans="9:10" s="5" customFormat="1" ht="12.75">
      <c r="I540" s="4"/>
      <c r="J540" s="4"/>
    </row>
    <row r="541" spans="9:10" s="5" customFormat="1" ht="12.75">
      <c r="I541" s="4"/>
      <c r="J541" s="4"/>
    </row>
    <row r="542" spans="9:10" s="5" customFormat="1" ht="12.75">
      <c r="I542" s="4"/>
      <c r="J542" s="4"/>
    </row>
    <row r="543" spans="9:10" s="5" customFormat="1" ht="12.75">
      <c r="I543" s="4"/>
      <c r="J543" s="4"/>
    </row>
    <row r="544" spans="9:10" s="5" customFormat="1" ht="12.75">
      <c r="I544" s="4"/>
      <c r="J544" s="4"/>
    </row>
    <row r="545" spans="9:10" s="5" customFormat="1" ht="12.75">
      <c r="I545" s="4"/>
      <c r="J545" s="4"/>
    </row>
    <row r="546" spans="9:10" s="5" customFormat="1" ht="12.75">
      <c r="I546" s="4"/>
      <c r="J546" s="4"/>
    </row>
    <row r="547" spans="9:10" s="5" customFormat="1" ht="12.75">
      <c r="I547" s="4"/>
      <c r="J547" s="4"/>
    </row>
    <row r="548" spans="9:10" s="5" customFormat="1" ht="12.75">
      <c r="I548" s="4"/>
      <c r="J548" s="4"/>
    </row>
    <row r="549" spans="9:10" s="5" customFormat="1" ht="12.75">
      <c r="I549" s="4"/>
      <c r="J549" s="4"/>
    </row>
    <row r="550" spans="9:10" s="5" customFormat="1" ht="12.75">
      <c r="I550" s="4"/>
      <c r="J550" s="4"/>
    </row>
    <row r="551" spans="9:10" s="5" customFormat="1" ht="12.75">
      <c r="I551" s="4"/>
      <c r="J551" s="4"/>
    </row>
    <row r="552" spans="9:10" s="5" customFormat="1" ht="12.75">
      <c r="I552" s="4"/>
      <c r="J552" s="4"/>
    </row>
    <row r="553" spans="9:10" s="5" customFormat="1" ht="12.75">
      <c r="I553" s="4"/>
      <c r="J553" s="4"/>
    </row>
    <row r="554" spans="9:10" s="5" customFormat="1" ht="12.75">
      <c r="I554" s="4"/>
      <c r="J554" s="4"/>
    </row>
    <row r="555" spans="9:10" s="5" customFormat="1" ht="12.75">
      <c r="I555" s="4"/>
      <c r="J555" s="4"/>
    </row>
    <row r="556" spans="9:10" s="5" customFormat="1" ht="12.75">
      <c r="I556" s="4"/>
      <c r="J556" s="4"/>
    </row>
    <row r="557" spans="9:10" s="5" customFormat="1" ht="12.75">
      <c r="I557" s="4"/>
      <c r="J557" s="4"/>
    </row>
    <row r="558" spans="9:10" s="5" customFormat="1" ht="12.75">
      <c r="I558" s="4"/>
      <c r="J558" s="4"/>
    </row>
    <row r="559" spans="9:10" s="5" customFormat="1" ht="12.75">
      <c r="I559" s="4"/>
      <c r="J559" s="4"/>
    </row>
    <row r="560" spans="9:10" s="5" customFormat="1" ht="12.75">
      <c r="I560" s="4"/>
      <c r="J560" s="4"/>
    </row>
    <row r="561" spans="9:10" s="5" customFormat="1" ht="12.75">
      <c r="I561" s="4"/>
      <c r="J561" s="4"/>
    </row>
    <row r="562" spans="9:10" s="5" customFormat="1" ht="12.75">
      <c r="I562" s="4"/>
      <c r="J562" s="4"/>
    </row>
    <row r="563" spans="9:10" s="5" customFormat="1" ht="12.75">
      <c r="I563" s="4"/>
      <c r="J563" s="4"/>
    </row>
    <row r="564" spans="9:10" s="5" customFormat="1" ht="12.75">
      <c r="I564" s="4"/>
      <c r="J564" s="4"/>
    </row>
    <row r="565" spans="9:10" s="5" customFormat="1" ht="12.75">
      <c r="I565" s="4"/>
      <c r="J565" s="4"/>
    </row>
    <row r="566" spans="9:10" s="5" customFormat="1" ht="12.75">
      <c r="I566" s="4"/>
      <c r="J566" s="4"/>
    </row>
    <row r="567" spans="9:10" s="5" customFormat="1" ht="12.75">
      <c r="I567" s="4"/>
      <c r="J567" s="4"/>
    </row>
    <row r="568" spans="9:10" s="5" customFormat="1" ht="12.75">
      <c r="I568" s="4"/>
      <c r="J568" s="4"/>
    </row>
    <row r="569" spans="9:10" s="5" customFormat="1" ht="12.75">
      <c r="I569" s="4"/>
      <c r="J569" s="4"/>
    </row>
    <row r="570" spans="9:10" s="5" customFormat="1" ht="12.75">
      <c r="I570" s="4"/>
      <c r="J570" s="4"/>
    </row>
    <row r="571" spans="9:10" s="5" customFormat="1" ht="12.75">
      <c r="I571" s="4"/>
      <c r="J571" s="4"/>
    </row>
    <row r="572" spans="9:10" s="5" customFormat="1" ht="12.75">
      <c r="I572" s="4"/>
      <c r="J572" s="4"/>
    </row>
    <row r="573" spans="9:10" s="5" customFormat="1" ht="12.75">
      <c r="I573" s="4"/>
      <c r="J573" s="4"/>
    </row>
    <row r="574" spans="9:10" s="5" customFormat="1" ht="12.75">
      <c r="I574" s="4"/>
      <c r="J574" s="4"/>
    </row>
    <row r="575" spans="9:10" s="5" customFormat="1" ht="12.75">
      <c r="I575" s="4"/>
      <c r="J575" s="4"/>
    </row>
    <row r="576" spans="9:10" s="5" customFormat="1" ht="12.75">
      <c r="I576" s="4"/>
      <c r="J576" s="4"/>
    </row>
    <row r="577" spans="9:10" s="5" customFormat="1" ht="12.75">
      <c r="I577" s="4"/>
      <c r="J577" s="4"/>
    </row>
    <row r="578" spans="9:10" s="5" customFormat="1" ht="12.75">
      <c r="I578" s="4"/>
      <c r="J578" s="4"/>
    </row>
    <row r="579" spans="9:10" s="5" customFormat="1" ht="12.75">
      <c r="I579" s="4"/>
      <c r="J579" s="4"/>
    </row>
    <row r="580" spans="9:10" s="5" customFormat="1" ht="12.75">
      <c r="I580" s="4"/>
      <c r="J580" s="4"/>
    </row>
    <row r="581" spans="9:10" s="5" customFormat="1" ht="12.75">
      <c r="I581" s="4"/>
      <c r="J581" s="4"/>
    </row>
    <row r="582" spans="9:10" s="5" customFormat="1" ht="12.75">
      <c r="I582" s="4"/>
      <c r="J582" s="4"/>
    </row>
    <row r="583" spans="9:10" s="5" customFormat="1" ht="12.75">
      <c r="I583" s="4"/>
      <c r="J583" s="4"/>
    </row>
    <row r="584" spans="9:10" s="5" customFormat="1" ht="12.75">
      <c r="I584" s="4"/>
      <c r="J584" s="4"/>
    </row>
    <row r="585" spans="9:10" s="5" customFormat="1" ht="12.75">
      <c r="I585" s="4"/>
      <c r="J585" s="4"/>
    </row>
    <row r="586" spans="9:10" s="5" customFormat="1" ht="12.75">
      <c r="I586" s="4"/>
      <c r="J586" s="4"/>
    </row>
    <row r="587" spans="9:10" s="5" customFormat="1" ht="12.75">
      <c r="I587" s="4"/>
      <c r="J587" s="4"/>
    </row>
    <row r="588" spans="9:10" s="5" customFormat="1" ht="12.75">
      <c r="I588" s="4"/>
      <c r="J588" s="4"/>
    </row>
    <row r="589" spans="9:10" s="5" customFormat="1" ht="12.75">
      <c r="I589" s="4"/>
      <c r="J589" s="4"/>
    </row>
    <row r="590" spans="9:10" s="5" customFormat="1" ht="12.75">
      <c r="I590" s="4"/>
      <c r="J590" s="4"/>
    </row>
    <row r="591" spans="9:10" s="5" customFormat="1" ht="12.75">
      <c r="I591" s="4"/>
      <c r="J591" s="4"/>
    </row>
    <row r="592" spans="9:10" s="5" customFormat="1" ht="12.75">
      <c r="I592" s="4"/>
      <c r="J592" s="4"/>
    </row>
    <row r="593" spans="9:10" s="5" customFormat="1" ht="12.75">
      <c r="I593" s="4"/>
      <c r="J593" s="4"/>
    </row>
    <row r="594" spans="9:10" s="5" customFormat="1" ht="12.75">
      <c r="I594" s="4"/>
      <c r="J594" s="4"/>
    </row>
    <row r="595" spans="9:10" s="5" customFormat="1" ht="12.75">
      <c r="I595" s="4"/>
      <c r="J595" s="4"/>
    </row>
    <row r="596" spans="9:10" s="5" customFormat="1" ht="12.75">
      <c r="I596" s="4"/>
      <c r="J596" s="4"/>
    </row>
    <row r="597" spans="9:10" s="5" customFormat="1" ht="12.75">
      <c r="I597" s="4"/>
      <c r="J597" s="4"/>
    </row>
    <row r="598" spans="9:10" s="5" customFormat="1" ht="12.75">
      <c r="I598" s="4"/>
      <c r="J598" s="4"/>
    </row>
    <row r="599" spans="9:10" s="5" customFormat="1" ht="12.75">
      <c r="I599" s="4"/>
      <c r="J599" s="4"/>
    </row>
    <row r="600" spans="9:10" s="5" customFormat="1" ht="12.75">
      <c r="I600" s="4"/>
      <c r="J600" s="4"/>
    </row>
    <row r="601" spans="9:10" s="5" customFormat="1" ht="12.75">
      <c r="I601" s="4"/>
      <c r="J601" s="4"/>
    </row>
    <row r="602" spans="9:10" s="5" customFormat="1" ht="12.75">
      <c r="I602" s="4"/>
      <c r="J602" s="4"/>
    </row>
    <row r="603" spans="9:10" s="5" customFormat="1" ht="12.75">
      <c r="I603" s="4"/>
      <c r="J603" s="4"/>
    </row>
    <row r="604" spans="9:10" s="5" customFormat="1" ht="12.75">
      <c r="I604" s="4"/>
      <c r="J604" s="4"/>
    </row>
    <row r="605" spans="9:10" s="5" customFormat="1" ht="12.75">
      <c r="I605" s="4"/>
      <c r="J605" s="4"/>
    </row>
    <row r="606" spans="9:10" s="5" customFormat="1" ht="12.75">
      <c r="I606" s="4"/>
      <c r="J606" s="4"/>
    </row>
    <row r="607" spans="9:10" s="5" customFormat="1" ht="12.75">
      <c r="I607" s="4"/>
      <c r="J607" s="4"/>
    </row>
    <row r="608" spans="9:10" s="5" customFormat="1" ht="12.75">
      <c r="I608" s="4"/>
      <c r="J608" s="4"/>
    </row>
    <row r="609" spans="9:10" s="5" customFormat="1" ht="12.75">
      <c r="I609" s="4"/>
      <c r="J609" s="4"/>
    </row>
    <row r="610" spans="9:10" s="5" customFormat="1" ht="12.75">
      <c r="I610" s="4"/>
      <c r="J610" s="4"/>
    </row>
    <row r="611" spans="9:10" s="5" customFormat="1" ht="12.75">
      <c r="I611" s="4"/>
      <c r="J611" s="4"/>
    </row>
    <row r="612" spans="9:10" s="5" customFormat="1" ht="12.75">
      <c r="I612" s="4"/>
      <c r="J612" s="4"/>
    </row>
    <row r="613" spans="9:10" s="5" customFormat="1" ht="12.75">
      <c r="I613" s="4"/>
      <c r="J613" s="4"/>
    </row>
    <row r="614" spans="9:10" s="5" customFormat="1" ht="12.75">
      <c r="I614" s="4"/>
      <c r="J614" s="4"/>
    </row>
    <row r="615" spans="9:10" s="5" customFormat="1" ht="12.75">
      <c r="I615" s="4"/>
      <c r="J615" s="4"/>
    </row>
    <row r="616" spans="9:10" s="5" customFormat="1" ht="12.75">
      <c r="I616" s="4"/>
      <c r="J616" s="4"/>
    </row>
    <row r="617" spans="9:10" s="5" customFormat="1" ht="12.75">
      <c r="I617" s="4"/>
      <c r="J617" s="4"/>
    </row>
    <row r="618" spans="9:10" s="5" customFormat="1" ht="12.75">
      <c r="I618" s="4"/>
      <c r="J618" s="4"/>
    </row>
    <row r="619" spans="9:10" s="5" customFormat="1" ht="12.75">
      <c r="I619" s="4"/>
      <c r="J619" s="4"/>
    </row>
    <row r="620" spans="9:10" s="5" customFormat="1" ht="12.75">
      <c r="I620" s="4"/>
      <c r="J620" s="4"/>
    </row>
    <row r="621" spans="9:10" s="5" customFormat="1" ht="12.75">
      <c r="I621" s="4"/>
      <c r="J621" s="4"/>
    </row>
    <row r="622" spans="9:10" s="5" customFormat="1" ht="12.75">
      <c r="I622" s="4"/>
      <c r="J622" s="4"/>
    </row>
    <row r="623" spans="9:10" s="5" customFormat="1" ht="12.75">
      <c r="I623" s="4"/>
      <c r="J623" s="4"/>
    </row>
    <row r="624" spans="9:10" s="5" customFormat="1" ht="12.75">
      <c r="I624" s="4"/>
      <c r="J624" s="4"/>
    </row>
    <row r="625" spans="9:10" s="5" customFormat="1" ht="12.75">
      <c r="I625" s="4"/>
      <c r="J625" s="4"/>
    </row>
    <row r="626" spans="9:10" s="5" customFormat="1" ht="12.75">
      <c r="I626" s="4"/>
      <c r="J626" s="4"/>
    </row>
    <row r="627" spans="9:10" s="5" customFormat="1" ht="12.75">
      <c r="I627" s="4"/>
      <c r="J627" s="4"/>
    </row>
    <row r="628" spans="9:10" s="5" customFormat="1" ht="12.75">
      <c r="I628" s="4"/>
      <c r="J628" s="4"/>
    </row>
    <row r="629" spans="9:10" s="5" customFormat="1" ht="12.75">
      <c r="I629" s="4"/>
      <c r="J629" s="4"/>
    </row>
    <row r="630" spans="9:10" s="5" customFormat="1" ht="12.75">
      <c r="I630" s="4"/>
      <c r="J630" s="4"/>
    </row>
    <row r="631" spans="9:10" s="5" customFormat="1" ht="12.75">
      <c r="I631" s="4"/>
      <c r="J631" s="4"/>
    </row>
    <row r="632" spans="9:10" s="5" customFormat="1" ht="12.75">
      <c r="I632" s="4"/>
      <c r="J632" s="4"/>
    </row>
    <row r="633" spans="9:10" s="5" customFormat="1" ht="12.75">
      <c r="I633" s="4"/>
      <c r="J633" s="4"/>
    </row>
    <row r="634" spans="9:10" s="5" customFormat="1" ht="12.75">
      <c r="I634" s="4"/>
      <c r="J634" s="4"/>
    </row>
    <row r="635" spans="9:10" s="5" customFormat="1" ht="12.75">
      <c r="I635" s="4"/>
      <c r="J635" s="4"/>
    </row>
    <row r="636" spans="9:10" s="5" customFormat="1" ht="12.75">
      <c r="I636" s="4"/>
      <c r="J636" s="4"/>
    </row>
    <row r="637" spans="9:10" s="5" customFormat="1" ht="12.75">
      <c r="I637" s="4"/>
      <c r="J637" s="4"/>
    </row>
    <row r="638" spans="9:10" s="5" customFormat="1" ht="12.75">
      <c r="I638" s="4"/>
      <c r="J638" s="4"/>
    </row>
    <row r="639" spans="9:10" s="5" customFormat="1" ht="12.75">
      <c r="I639" s="4"/>
      <c r="J639" s="4"/>
    </row>
    <row r="640" spans="9:10" s="5" customFormat="1" ht="12.75">
      <c r="I640" s="4"/>
      <c r="J640" s="4"/>
    </row>
    <row r="641" spans="9:10" s="5" customFormat="1" ht="12.75">
      <c r="I641" s="4"/>
      <c r="J641" s="4"/>
    </row>
    <row r="642" spans="9:10" s="5" customFormat="1" ht="12.75">
      <c r="I642" s="4"/>
      <c r="J642" s="4"/>
    </row>
    <row r="643" spans="9:10" s="5" customFormat="1" ht="12.75">
      <c r="I643" s="4"/>
      <c r="J643" s="4"/>
    </row>
    <row r="644" spans="9:10" s="5" customFormat="1" ht="12.75">
      <c r="I644" s="4"/>
      <c r="J644" s="4"/>
    </row>
    <row r="645" spans="9:10" s="5" customFormat="1" ht="12.75">
      <c r="I645" s="4"/>
      <c r="J645" s="4"/>
    </row>
    <row r="646" spans="9:10" s="5" customFormat="1" ht="12.75">
      <c r="I646" s="4"/>
      <c r="J646" s="4"/>
    </row>
    <row r="647" spans="9:10" s="5" customFormat="1" ht="12.75">
      <c r="I647" s="4"/>
      <c r="J647" s="4"/>
    </row>
    <row r="648" spans="9:10" s="5" customFormat="1" ht="12.75">
      <c r="I648" s="4"/>
      <c r="J648" s="4"/>
    </row>
    <row r="649" spans="9:10" s="5" customFormat="1" ht="12.75">
      <c r="I649" s="4"/>
      <c r="J649" s="4"/>
    </row>
    <row r="650" spans="9:10" s="5" customFormat="1" ht="12.75">
      <c r="I650" s="4"/>
      <c r="J650" s="4"/>
    </row>
    <row r="651" spans="9:10" s="5" customFormat="1" ht="12.75">
      <c r="I651" s="4"/>
      <c r="J651" s="4"/>
    </row>
    <row r="652" spans="9:10" s="5" customFormat="1" ht="12.75">
      <c r="I652" s="4"/>
      <c r="J652" s="4"/>
    </row>
    <row r="653" spans="9:10" s="5" customFormat="1" ht="12.75">
      <c r="I653" s="4"/>
      <c r="J653" s="4"/>
    </row>
    <row r="654" spans="9:10" s="5" customFormat="1" ht="12.75">
      <c r="I654" s="4"/>
      <c r="J654" s="4"/>
    </row>
    <row r="655" spans="9:10" s="5" customFormat="1" ht="12.75">
      <c r="I655" s="4"/>
      <c r="J655" s="4"/>
    </row>
    <row r="656" spans="9:10" s="5" customFormat="1" ht="12.75">
      <c r="I656" s="4"/>
      <c r="J656" s="4"/>
    </row>
    <row r="657" spans="9:10" s="5" customFormat="1" ht="12.75">
      <c r="I657" s="4"/>
      <c r="J657" s="4"/>
    </row>
    <row r="658" spans="9:10" s="5" customFormat="1" ht="12.75">
      <c r="I658" s="4"/>
      <c r="J658" s="4"/>
    </row>
    <row r="659" spans="9:10" s="5" customFormat="1" ht="12.75">
      <c r="I659" s="4"/>
      <c r="J659" s="4"/>
    </row>
    <row r="660" spans="9:10" s="5" customFormat="1" ht="12.75">
      <c r="I660" s="4"/>
      <c r="J660" s="4"/>
    </row>
    <row r="661" spans="9:10" s="5" customFormat="1" ht="12.75">
      <c r="I661" s="4"/>
      <c r="J661" s="4"/>
    </row>
    <row r="662" spans="9:10" s="5" customFormat="1" ht="12.75">
      <c r="I662" s="4"/>
      <c r="J662" s="4"/>
    </row>
    <row r="663" spans="9:10" s="5" customFormat="1" ht="12.75">
      <c r="I663" s="4"/>
      <c r="J663" s="4"/>
    </row>
    <row r="664" spans="9:10" s="5" customFormat="1" ht="12.75">
      <c r="I664" s="4"/>
      <c r="J664" s="4"/>
    </row>
    <row r="665" spans="9:10" s="5" customFormat="1" ht="12.75">
      <c r="I665" s="4"/>
      <c r="J665" s="4"/>
    </row>
    <row r="666" spans="9:10" s="5" customFormat="1" ht="12.75">
      <c r="I666" s="4"/>
      <c r="J666" s="4"/>
    </row>
    <row r="667" spans="9:10" s="5" customFormat="1" ht="12.75">
      <c r="I667" s="4"/>
      <c r="J667" s="4"/>
    </row>
    <row r="668" spans="9:10" s="5" customFormat="1" ht="12.75">
      <c r="I668" s="4"/>
      <c r="J668" s="4"/>
    </row>
    <row r="669" spans="9:10" s="5" customFormat="1" ht="12.75">
      <c r="I669" s="4"/>
      <c r="J669" s="4"/>
    </row>
    <row r="670" spans="9:10" s="5" customFormat="1" ht="12.75">
      <c r="I670" s="4"/>
      <c r="J670" s="4"/>
    </row>
    <row r="671" spans="9:10" s="5" customFormat="1" ht="12.75">
      <c r="I671" s="4"/>
      <c r="J671" s="4"/>
    </row>
    <row r="672" spans="9:10" s="5" customFormat="1" ht="12.75">
      <c r="I672" s="4"/>
      <c r="J672" s="4"/>
    </row>
    <row r="673" spans="9:10" s="5" customFormat="1" ht="12.75">
      <c r="I673" s="4"/>
      <c r="J673" s="4"/>
    </row>
    <row r="674" spans="9:10" s="5" customFormat="1" ht="12.75">
      <c r="I674" s="4"/>
      <c r="J674" s="4"/>
    </row>
    <row r="675" spans="9:10" s="5" customFormat="1" ht="12.75">
      <c r="I675" s="4"/>
      <c r="J675" s="4"/>
    </row>
    <row r="676" spans="9:10" s="5" customFormat="1" ht="12.75">
      <c r="I676" s="4"/>
      <c r="J676" s="4"/>
    </row>
    <row r="677" spans="9:10" s="5" customFormat="1" ht="12.75">
      <c r="I677" s="4"/>
      <c r="J677" s="4"/>
    </row>
    <row r="678" spans="9:10" s="5" customFormat="1" ht="12.75">
      <c r="I678" s="4"/>
      <c r="J678" s="4"/>
    </row>
    <row r="679" spans="9:10" s="5" customFormat="1" ht="12.75">
      <c r="I679" s="4"/>
      <c r="J679" s="4"/>
    </row>
    <row r="680" spans="9:10" s="5" customFormat="1" ht="12.75">
      <c r="I680" s="4"/>
      <c r="J680" s="4"/>
    </row>
    <row r="681" spans="9:10" s="5" customFormat="1" ht="12.75">
      <c r="I681" s="4"/>
      <c r="J681" s="4"/>
    </row>
    <row r="682" spans="9:10" s="5" customFormat="1" ht="12.75">
      <c r="I682" s="4"/>
      <c r="J682" s="4"/>
    </row>
    <row r="683" spans="9:10" s="5" customFormat="1" ht="12.75">
      <c r="I683" s="4"/>
      <c r="J683" s="4"/>
    </row>
    <row r="684" spans="9:10" s="5" customFormat="1" ht="12.75">
      <c r="I684" s="4"/>
      <c r="J684" s="4"/>
    </row>
    <row r="685" spans="9:10" s="5" customFormat="1" ht="12.75">
      <c r="I685" s="4"/>
      <c r="J685" s="4"/>
    </row>
    <row r="686" spans="9:10" s="5" customFormat="1" ht="12.75">
      <c r="I686" s="4"/>
      <c r="J686" s="4"/>
    </row>
    <row r="687" spans="9:10" s="5" customFormat="1" ht="12.75">
      <c r="I687" s="4"/>
      <c r="J687" s="4"/>
    </row>
    <row r="688" spans="9:10" s="5" customFormat="1" ht="12.75">
      <c r="I688" s="4"/>
      <c r="J688" s="4"/>
    </row>
    <row r="689" spans="9:10" s="5" customFormat="1" ht="12.75">
      <c r="I689" s="4"/>
      <c r="J689" s="4"/>
    </row>
    <row r="690" spans="9:10" s="5" customFormat="1" ht="12.75">
      <c r="I690" s="4"/>
      <c r="J690" s="4"/>
    </row>
    <row r="691" spans="9:10" s="5" customFormat="1" ht="12.75">
      <c r="I691" s="4"/>
      <c r="J691" s="4"/>
    </row>
    <row r="692" spans="9:10" s="5" customFormat="1" ht="12.75">
      <c r="I692" s="4"/>
      <c r="J692" s="4"/>
    </row>
    <row r="693" spans="9:10" s="5" customFormat="1" ht="12.75">
      <c r="I693" s="4"/>
      <c r="J693" s="4"/>
    </row>
    <row r="694" spans="9:10" s="5" customFormat="1" ht="12.75">
      <c r="I694" s="4"/>
      <c r="J694" s="4"/>
    </row>
    <row r="695" spans="9:10" s="5" customFormat="1" ht="12.75">
      <c r="I695" s="4"/>
      <c r="J695" s="4"/>
    </row>
    <row r="696" spans="9:10" s="5" customFormat="1" ht="12.75">
      <c r="I696" s="4"/>
      <c r="J696" s="4"/>
    </row>
    <row r="697" spans="9:10" s="5" customFormat="1" ht="12.75">
      <c r="I697" s="4"/>
      <c r="J697" s="4"/>
    </row>
    <row r="698" spans="9:10" s="5" customFormat="1" ht="12.75">
      <c r="I698" s="4"/>
      <c r="J698" s="4"/>
    </row>
    <row r="699" spans="9:10" s="5" customFormat="1" ht="12.75">
      <c r="I699" s="4"/>
      <c r="J699" s="4"/>
    </row>
    <row r="700" spans="9:10" s="5" customFormat="1" ht="12.75">
      <c r="I700" s="4"/>
      <c r="J700" s="4"/>
    </row>
    <row r="701" spans="9:10" s="5" customFormat="1" ht="12.75">
      <c r="I701" s="4"/>
      <c r="J701" s="4"/>
    </row>
    <row r="702" spans="9:10" s="5" customFormat="1" ht="12.75">
      <c r="I702" s="4"/>
      <c r="J702" s="4"/>
    </row>
    <row r="703" spans="9:10" s="5" customFormat="1" ht="12.75">
      <c r="I703" s="4"/>
      <c r="J703" s="4"/>
    </row>
    <row r="704" spans="9:10" s="5" customFormat="1" ht="12.75">
      <c r="I704" s="4"/>
      <c r="J704" s="4"/>
    </row>
    <row r="705" spans="9:10" s="5" customFormat="1" ht="12.75">
      <c r="I705" s="4"/>
      <c r="J705" s="4"/>
    </row>
    <row r="706" spans="9:10" s="5" customFormat="1" ht="12.75">
      <c r="I706" s="4"/>
      <c r="J706" s="4"/>
    </row>
    <row r="707" spans="9:10" s="5" customFormat="1" ht="12.75">
      <c r="I707" s="4"/>
      <c r="J707" s="4"/>
    </row>
    <row r="708" spans="9:10" s="5" customFormat="1" ht="12.75">
      <c r="I708" s="4"/>
      <c r="J708" s="4"/>
    </row>
    <row r="709" spans="9:10" s="5" customFormat="1" ht="12.75">
      <c r="I709" s="4"/>
      <c r="J709" s="4"/>
    </row>
    <row r="710" spans="9:10" s="5" customFormat="1" ht="12.75">
      <c r="I710" s="4"/>
      <c r="J710" s="4"/>
    </row>
    <row r="711" spans="9:10" s="5" customFormat="1" ht="12.75">
      <c r="I711" s="4"/>
      <c r="J711" s="4"/>
    </row>
    <row r="712" spans="9:10" s="5" customFormat="1" ht="12.75">
      <c r="I712" s="4"/>
      <c r="J712" s="4"/>
    </row>
    <row r="713" spans="9:10" s="5" customFormat="1" ht="12.75">
      <c r="I713" s="4"/>
      <c r="J713" s="4"/>
    </row>
    <row r="714" spans="9:10" s="5" customFormat="1" ht="12.75">
      <c r="I714" s="4"/>
      <c r="J714" s="4"/>
    </row>
    <row r="715" spans="9:10" s="5" customFormat="1" ht="12.75">
      <c r="I715" s="4"/>
      <c r="J715" s="4"/>
    </row>
    <row r="716" spans="9:10" s="5" customFormat="1" ht="12.75">
      <c r="I716" s="4"/>
      <c r="J716" s="4"/>
    </row>
    <row r="717" spans="9:10" s="5" customFormat="1" ht="12.75">
      <c r="I717" s="4"/>
      <c r="J717" s="4"/>
    </row>
    <row r="718" spans="9:10" s="5" customFormat="1" ht="12.75">
      <c r="I718" s="4"/>
      <c r="J718" s="4"/>
    </row>
    <row r="719" spans="9:10" s="5" customFormat="1" ht="12.75">
      <c r="I719" s="4"/>
      <c r="J719" s="4"/>
    </row>
    <row r="720" spans="9:10" s="5" customFormat="1" ht="12.75">
      <c r="I720" s="4"/>
      <c r="J720" s="4"/>
    </row>
    <row r="721" spans="9:10" s="5" customFormat="1" ht="12.75">
      <c r="I721" s="4"/>
      <c r="J721" s="4"/>
    </row>
    <row r="722" spans="9:10" s="5" customFormat="1" ht="12.75">
      <c r="I722" s="4"/>
      <c r="J722" s="4"/>
    </row>
    <row r="723" spans="9:10" s="5" customFormat="1" ht="12.75">
      <c r="I723" s="4"/>
      <c r="J723" s="4"/>
    </row>
    <row r="724" spans="9:10" s="5" customFormat="1" ht="12.75">
      <c r="I724" s="4"/>
      <c r="J724" s="4"/>
    </row>
    <row r="725" spans="9:10" s="5" customFormat="1" ht="12.75">
      <c r="I725" s="4"/>
      <c r="J725" s="4"/>
    </row>
    <row r="726" spans="9:10" s="5" customFormat="1" ht="12.75">
      <c r="I726" s="4"/>
      <c r="J726" s="4"/>
    </row>
    <row r="727" spans="9:10" s="5" customFormat="1" ht="12.75">
      <c r="I727" s="4"/>
      <c r="J727" s="4"/>
    </row>
    <row r="728" spans="9:10" s="5" customFormat="1" ht="12.75">
      <c r="I728" s="4"/>
      <c r="J728" s="4"/>
    </row>
    <row r="729" spans="9:10" s="5" customFormat="1" ht="12.75">
      <c r="I729" s="4"/>
      <c r="J729" s="4"/>
    </row>
    <row r="730" spans="9:10" s="5" customFormat="1" ht="12.75">
      <c r="I730" s="4"/>
      <c r="J730" s="4"/>
    </row>
    <row r="731" spans="9:10" s="5" customFormat="1" ht="12.75">
      <c r="I731" s="4"/>
      <c r="J731" s="4"/>
    </row>
    <row r="732" spans="9:10" s="5" customFormat="1" ht="12.75">
      <c r="I732" s="4"/>
      <c r="J732" s="4"/>
    </row>
    <row r="733" spans="9:10" s="5" customFormat="1" ht="12.75">
      <c r="I733" s="4"/>
      <c r="J733" s="4"/>
    </row>
    <row r="734" spans="9:10" s="5" customFormat="1" ht="12.75">
      <c r="I734" s="4"/>
      <c r="J734" s="4"/>
    </row>
    <row r="735" spans="9:10" s="5" customFormat="1" ht="12.75">
      <c r="I735" s="4"/>
      <c r="J735" s="4"/>
    </row>
    <row r="736" spans="9:10" s="5" customFormat="1" ht="12.75">
      <c r="I736" s="4"/>
      <c r="J736" s="4"/>
    </row>
    <row r="737" spans="9:10" s="5" customFormat="1" ht="12.75">
      <c r="I737" s="4"/>
      <c r="J737" s="4"/>
    </row>
    <row r="738" spans="9:10" s="5" customFormat="1" ht="12.75">
      <c r="I738" s="4"/>
      <c r="J738" s="4"/>
    </row>
    <row r="739" spans="9:10" s="5" customFormat="1" ht="12.75">
      <c r="I739" s="4"/>
      <c r="J739" s="4"/>
    </row>
    <row r="740" spans="9:10" s="5" customFormat="1" ht="12.75">
      <c r="I740" s="4"/>
      <c r="J740" s="4"/>
    </row>
    <row r="741" spans="9:10" s="5" customFormat="1" ht="12.75">
      <c r="I741" s="4"/>
      <c r="J741" s="4"/>
    </row>
    <row r="742" spans="9:10" s="5" customFormat="1" ht="12.75">
      <c r="I742" s="4"/>
      <c r="J742" s="4"/>
    </row>
    <row r="743" spans="9:10" s="5" customFormat="1" ht="12.75">
      <c r="I743" s="4"/>
      <c r="J743" s="4"/>
    </row>
    <row r="744" spans="9:10" s="5" customFormat="1" ht="12.75">
      <c r="I744" s="4"/>
      <c r="J744" s="4"/>
    </row>
    <row r="745" spans="9:10" s="5" customFormat="1" ht="12.75">
      <c r="I745" s="4"/>
      <c r="J745" s="4"/>
    </row>
    <row r="746" spans="9:10" s="5" customFormat="1" ht="12.75">
      <c r="I746" s="4"/>
      <c r="J746" s="4"/>
    </row>
    <row r="747" spans="9:10" s="5" customFormat="1" ht="12.75">
      <c r="I747" s="4"/>
      <c r="J747" s="4"/>
    </row>
    <row r="748" spans="9:10" s="5" customFormat="1" ht="12.75">
      <c r="I748" s="4"/>
      <c r="J748" s="4"/>
    </row>
    <row r="749" spans="9:10" s="5" customFormat="1" ht="12.75">
      <c r="I749" s="4"/>
      <c r="J749" s="4"/>
    </row>
    <row r="750" spans="9:10" s="5" customFormat="1" ht="12.75">
      <c r="I750" s="4"/>
      <c r="J750" s="4"/>
    </row>
    <row r="751" spans="9:10" s="5" customFormat="1" ht="12.75">
      <c r="I751" s="4"/>
      <c r="J751" s="4"/>
    </row>
    <row r="752" spans="9:10" s="5" customFormat="1" ht="12.75">
      <c r="I752" s="4"/>
      <c r="J752" s="4"/>
    </row>
    <row r="753" spans="9:10" s="5" customFormat="1" ht="12.75">
      <c r="I753" s="4"/>
      <c r="J753" s="4"/>
    </row>
    <row r="754" spans="9:10" s="5" customFormat="1" ht="12.75">
      <c r="I754" s="4"/>
      <c r="J754" s="4"/>
    </row>
    <row r="755" spans="9:10" s="5" customFormat="1" ht="12.75">
      <c r="I755" s="4"/>
      <c r="J755" s="4"/>
    </row>
    <row r="756" spans="9:10" s="5" customFormat="1" ht="12.75">
      <c r="I756" s="4"/>
      <c r="J756" s="4"/>
    </row>
    <row r="757" spans="9:10" s="5" customFormat="1" ht="12.75">
      <c r="I757" s="4"/>
      <c r="J757" s="4"/>
    </row>
    <row r="758" spans="9:10" s="5" customFormat="1" ht="12.75">
      <c r="I758" s="4"/>
      <c r="J758" s="4"/>
    </row>
    <row r="759" spans="9:10" s="5" customFormat="1" ht="12.75">
      <c r="I759" s="4"/>
      <c r="J759" s="4"/>
    </row>
    <row r="760" spans="9:10" s="5" customFormat="1" ht="12.75">
      <c r="I760" s="4"/>
      <c r="J760" s="4"/>
    </row>
    <row r="761" spans="9:10" s="5" customFormat="1" ht="12.75">
      <c r="I761" s="4"/>
      <c r="J761" s="4"/>
    </row>
    <row r="762" spans="9:10" s="5" customFormat="1" ht="12.75">
      <c r="I762" s="4"/>
      <c r="J762" s="4"/>
    </row>
    <row r="763" spans="9:10" s="5" customFormat="1" ht="12.75">
      <c r="I763" s="4"/>
      <c r="J763" s="4"/>
    </row>
    <row r="764" spans="9:10" s="5" customFormat="1" ht="12.75">
      <c r="I764" s="4"/>
      <c r="J764" s="4"/>
    </row>
    <row r="765" spans="9:10" s="5" customFormat="1" ht="12.75">
      <c r="I765" s="4"/>
      <c r="J765" s="4"/>
    </row>
    <row r="766" spans="9:10" s="5" customFormat="1" ht="12.75">
      <c r="I766" s="4"/>
      <c r="J766" s="4"/>
    </row>
    <row r="767" spans="9:10" s="5" customFormat="1" ht="12.75">
      <c r="I767" s="4"/>
      <c r="J767" s="4"/>
    </row>
    <row r="768" spans="9:10" s="5" customFormat="1" ht="12.75">
      <c r="I768" s="4"/>
      <c r="J768" s="4"/>
    </row>
    <row r="769" spans="9:10" s="5" customFormat="1" ht="12.75">
      <c r="I769" s="4"/>
      <c r="J769" s="4"/>
    </row>
    <row r="770" spans="9:10" s="5" customFormat="1" ht="12.75">
      <c r="I770" s="4"/>
      <c r="J770" s="4"/>
    </row>
    <row r="771" spans="9:10" s="5" customFormat="1" ht="12.75">
      <c r="I771" s="4"/>
      <c r="J771" s="4"/>
    </row>
    <row r="772" spans="9:10" s="5" customFormat="1" ht="12.75">
      <c r="I772" s="4"/>
      <c r="J772" s="4"/>
    </row>
    <row r="773" spans="9:10" s="5" customFormat="1" ht="12.75">
      <c r="I773" s="4"/>
      <c r="J773" s="4"/>
    </row>
    <row r="774" spans="9:10" s="5" customFormat="1" ht="12.75">
      <c r="I774" s="4"/>
      <c r="J774" s="4"/>
    </row>
    <row r="775" spans="9:10" s="5" customFormat="1" ht="12.75">
      <c r="I775" s="4"/>
      <c r="J775" s="4"/>
    </row>
    <row r="776" spans="9:10" s="5" customFormat="1" ht="12.75">
      <c r="I776" s="4"/>
      <c r="J776" s="4"/>
    </row>
    <row r="777" spans="9:10" s="5" customFormat="1" ht="12.75">
      <c r="I777" s="4"/>
      <c r="J777" s="4"/>
    </row>
    <row r="778" spans="9:10" s="5" customFormat="1" ht="12.75">
      <c r="I778" s="4"/>
      <c r="J778" s="4"/>
    </row>
    <row r="779" spans="9:10" s="5" customFormat="1" ht="12.75">
      <c r="I779" s="4"/>
      <c r="J779" s="4"/>
    </row>
    <row r="780" spans="9:10" s="5" customFormat="1" ht="12.75">
      <c r="I780" s="4"/>
      <c r="J780" s="4"/>
    </row>
    <row r="781" spans="9:10" s="5" customFormat="1" ht="12.75">
      <c r="I781" s="4"/>
      <c r="J781" s="4"/>
    </row>
    <row r="782" spans="9:10" s="5" customFormat="1" ht="12.75">
      <c r="I782" s="4"/>
      <c r="J782" s="4"/>
    </row>
    <row r="783" spans="9:10" s="5" customFormat="1" ht="12.75">
      <c r="I783" s="4"/>
      <c r="J783" s="4"/>
    </row>
    <row r="784" spans="9:10" s="5" customFormat="1" ht="12.75">
      <c r="I784" s="4"/>
      <c r="J784" s="4"/>
    </row>
    <row r="785" spans="9:10" s="5" customFormat="1" ht="12.75">
      <c r="I785" s="4"/>
      <c r="J785" s="4"/>
    </row>
    <row r="786" spans="9:10" s="5" customFormat="1" ht="12.75">
      <c r="I786" s="4"/>
      <c r="J786" s="4"/>
    </row>
    <row r="787" spans="9:10" s="5" customFormat="1" ht="12.75">
      <c r="I787" s="4"/>
      <c r="J787" s="4"/>
    </row>
    <row r="788" spans="9:10" s="5" customFormat="1" ht="12.75">
      <c r="I788" s="4"/>
      <c r="J788" s="4"/>
    </row>
    <row r="789" spans="9:10" s="5" customFormat="1" ht="12.75">
      <c r="I789" s="4"/>
      <c r="J789" s="4"/>
    </row>
    <row r="790" spans="9:10" s="5" customFormat="1" ht="12.75">
      <c r="I790" s="4"/>
      <c r="J790" s="4"/>
    </row>
    <row r="791" spans="9:10" s="5" customFormat="1" ht="12.75">
      <c r="I791" s="4"/>
      <c r="J791" s="4"/>
    </row>
    <row r="792" spans="9:10" s="5" customFormat="1" ht="12.75">
      <c r="I792" s="4"/>
      <c r="J792" s="4"/>
    </row>
    <row r="793" spans="9:10" s="5" customFormat="1" ht="12.75">
      <c r="I793" s="4"/>
      <c r="J793" s="4"/>
    </row>
    <row r="794" spans="9:10" s="5" customFormat="1" ht="12.75">
      <c r="I794" s="4"/>
      <c r="J794" s="4"/>
    </row>
    <row r="795" spans="9:10" s="5" customFormat="1" ht="12.75">
      <c r="I795" s="4"/>
      <c r="J795" s="4"/>
    </row>
    <row r="796" spans="9:10" s="5" customFormat="1" ht="12.75">
      <c r="I796" s="4"/>
      <c r="J796" s="4"/>
    </row>
    <row r="797" spans="9:10" s="5" customFormat="1" ht="12.75">
      <c r="I797" s="4"/>
      <c r="J797" s="4"/>
    </row>
    <row r="798" spans="9:10" s="5" customFormat="1" ht="12.75">
      <c r="I798" s="4"/>
      <c r="J798" s="4"/>
    </row>
    <row r="799" spans="9:10" s="5" customFormat="1" ht="12.75">
      <c r="I799" s="4"/>
      <c r="J799" s="4"/>
    </row>
    <row r="800" spans="9:10" s="5" customFormat="1" ht="12.75">
      <c r="I800" s="4"/>
      <c r="J800" s="4"/>
    </row>
    <row r="801" spans="9:10" s="5" customFormat="1" ht="12.75">
      <c r="I801" s="4"/>
      <c r="J801" s="4"/>
    </row>
    <row r="802" spans="9:10" s="5" customFormat="1" ht="12.75">
      <c r="I802" s="4"/>
      <c r="J802" s="4"/>
    </row>
    <row r="803" spans="9:10" s="5" customFormat="1" ht="12.75">
      <c r="I803" s="4"/>
      <c r="J803" s="4"/>
    </row>
    <row r="804" spans="9:10" s="5" customFormat="1" ht="12.75">
      <c r="I804" s="4"/>
      <c r="J804" s="4"/>
    </row>
    <row r="805" spans="9:10" s="5" customFormat="1" ht="12.75">
      <c r="I805" s="4"/>
      <c r="J805" s="4"/>
    </row>
    <row r="806" spans="9:10" s="5" customFormat="1" ht="12.75">
      <c r="I806" s="4"/>
      <c r="J806" s="4"/>
    </row>
    <row r="807" spans="9:10" s="5" customFormat="1" ht="12.75">
      <c r="I807" s="4"/>
      <c r="J807" s="4"/>
    </row>
    <row r="808" spans="9:10" s="5" customFormat="1" ht="12.75">
      <c r="I808" s="4"/>
      <c r="J808" s="4"/>
    </row>
    <row r="809" spans="9:10" s="5" customFormat="1" ht="12.75">
      <c r="I809" s="4"/>
      <c r="J809" s="4"/>
    </row>
    <row r="810" spans="9:10" s="5" customFormat="1" ht="12.75">
      <c r="I810" s="4"/>
      <c r="J810" s="4"/>
    </row>
    <row r="811" spans="9:10" s="5" customFormat="1" ht="12.75">
      <c r="I811" s="4"/>
      <c r="J811" s="4"/>
    </row>
    <row r="812" spans="9:10" s="5" customFormat="1" ht="12.75">
      <c r="I812" s="4"/>
      <c r="J812" s="4"/>
    </row>
    <row r="813" spans="9:10" s="5" customFormat="1" ht="12.75">
      <c r="I813" s="4"/>
      <c r="J813" s="4"/>
    </row>
    <row r="814" spans="9:10" s="5" customFormat="1" ht="12.75">
      <c r="I814" s="4"/>
      <c r="J814" s="4"/>
    </row>
    <row r="815" spans="9:10" s="5" customFormat="1" ht="12.75">
      <c r="I815" s="4"/>
      <c r="J815" s="4"/>
    </row>
    <row r="816" spans="9:10" s="5" customFormat="1" ht="12.75">
      <c r="I816" s="4"/>
      <c r="J816" s="4"/>
    </row>
    <row r="817" spans="9:10" s="5" customFormat="1" ht="12.75">
      <c r="I817" s="4"/>
      <c r="J817" s="4"/>
    </row>
    <row r="818" spans="9:10" s="5" customFormat="1" ht="12.75">
      <c r="I818" s="4"/>
      <c r="J818" s="4"/>
    </row>
    <row r="819" spans="9:10" s="5" customFormat="1" ht="12.75">
      <c r="I819" s="4"/>
      <c r="J819" s="4"/>
    </row>
    <row r="820" spans="9:10" s="5" customFormat="1" ht="12.75">
      <c r="I820" s="4"/>
      <c r="J820" s="4"/>
    </row>
    <row r="821" spans="9:10" s="5" customFormat="1" ht="12.75">
      <c r="I821" s="4"/>
      <c r="J821" s="4"/>
    </row>
    <row r="822" spans="9:10" s="5" customFormat="1" ht="12.75">
      <c r="I822" s="4"/>
      <c r="J822" s="4"/>
    </row>
    <row r="823" spans="9:10" s="5" customFormat="1" ht="12.75">
      <c r="I823" s="4"/>
      <c r="J823" s="4"/>
    </row>
    <row r="824" spans="9:10" s="5" customFormat="1" ht="12.75">
      <c r="I824" s="4"/>
      <c r="J824" s="4"/>
    </row>
    <row r="825" spans="9:10" s="5" customFormat="1" ht="12.75">
      <c r="I825" s="4"/>
      <c r="J825" s="4"/>
    </row>
    <row r="826" spans="9:10" s="5" customFormat="1" ht="12.75">
      <c r="I826" s="4"/>
      <c r="J826" s="4"/>
    </row>
    <row r="827" spans="9:10" s="5" customFormat="1" ht="12.75">
      <c r="I827" s="4"/>
      <c r="J827" s="4"/>
    </row>
    <row r="828" spans="9:10" s="5" customFormat="1" ht="12.75">
      <c r="I828" s="4"/>
      <c r="J828" s="4"/>
    </row>
    <row r="829" spans="9:10" s="5" customFormat="1" ht="12.75">
      <c r="I829" s="4"/>
      <c r="J829" s="4"/>
    </row>
    <row r="830" spans="9:10" s="5" customFormat="1" ht="12.75">
      <c r="I830" s="4"/>
      <c r="J830" s="4"/>
    </row>
    <row r="831" spans="9:10" s="5" customFormat="1" ht="12.75">
      <c r="I831" s="4"/>
      <c r="J831" s="4"/>
    </row>
    <row r="832" spans="9:10" s="5" customFormat="1" ht="12.75">
      <c r="I832" s="4"/>
      <c r="J832" s="4"/>
    </row>
    <row r="833" spans="9:10" s="5" customFormat="1" ht="12.75">
      <c r="I833" s="4"/>
      <c r="J833" s="4"/>
    </row>
    <row r="834" spans="9:10" s="5" customFormat="1" ht="12.75">
      <c r="I834" s="4"/>
      <c r="J834" s="4"/>
    </row>
    <row r="835" spans="9:10" s="5" customFormat="1" ht="12.75">
      <c r="I835" s="4"/>
      <c r="J835" s="4"/>
    </row>
    <row r="836" spans="9:10" s="5" customFormat="1" ht="12.75">
      <c r="I836" s="4"/>
      <c r="J836" s="4"/>
    </row>
    <row r="837" spans="9:10" s="5" customFormat="1" ht="12.75">
      <c r="I837" s="4"/>
      <c r="J837" s="4"/>
    </row>
    <row r="838" spans="9:10" s="5" customFormat="1" ht="12.75">
      <c r="I838" s="4"/>
      <c r="J838" s="4"/>
    </row>
    <row r="839" spans="9:10" s="5" customFormat="1" ht="12.75">
      <c r="I839" s="4"/>
      <c r="J839" s="4"/>
    </row>
    <row r="840" spans="9:10" s="5" customFormat="1" ht="12.75">
      <c r="I840" s="4"/>
      <c r="J840" s="4"/>
    </row>
    <row r="841" spans="9:10" s="5" customFormat="1" ht="12.75">
      <c r="I841" s="4"/>
      <c r="J841" s="4"/>
    </row>
    <row r="842" spans="9:10" s="5" customFormat="1" ht="12.75">
      <c r="I842" s="4"/>
      <c r="J842" s="4"/>
    </row>
    <row r="843" spans="9:10" s="5" customFormat="1" ht="12.75">
      <c r="I843" s="4"/>
      <c r="J843" s="4"/>
    </row>
    <row r="844" spans="9:10" s="5" customFormat="1" ht="12.75">
      <c r="I844" s="4"/>
      <c r="J844" s="4"/>
    </row>
    <row r="845" spans="9:10" s="5" customFormat="1" ht="12.75">
      <c r="I845" s="4"/>
      <c r="J845" s="4"/>
    </row>
    <row r="846" spans="9:10" s="5" customFormat="1" ht="12.75">
      <c r="I846" s="4"/>
      <c r="J846" s="4"/>
    </row>
    <row r="847" spans="9:10" s="5" customFormat="1" ht="12.75">
      <c r="I847" s="4"/>
      <c r="J847" s="4"/>
    </row>
    <row r="848" spans="9:10" s="5" customFormat="1" ht="12.75">
      <c r="I848" s="4"/>
      <c r="J848" s="4"/>
    </row>
    <row r="849" spans="9:10" s="5" customFormat="1" ht="12.75">
      <c r="I849" s="4"/>
      <c r="J849" s="4"/>
    </row>
    <row r="850" spans="9:10" s="5" customFormat="1" ht="12.75">
      <c r="I850" s="4"/>
      <c r="J850" s="4"/>
    </row>
    <row r="851" spans="9:10" s="5" customFormat="1" ht="12.75">
      <c r="I851" s="4"/>
      <c r="J851" s="4"/>
    </row>
    <row r="852" spans="9:10" s="5" customFormat="1" ht="12.75">
      <c r="I852" s="4"/>
      <c r="J852" s="4"/>
    </row>
    <row r="853" spans="9:10" s="5" customFormat="1" ht="12.75">
      <c r="I853" s="4"/>
      <c r="J853" s="4"/>
    </row>
    <row r="854" spans="9:10" s="5" customFormat="1" ht="12.75">
      <c r="I854" s="4"/>
      <c r="J854" s="4"/>
    </row>
    <row r="855" spans="9:10" s="5" customFormat="1" ht="12.75">
      <c r="I855" s="4"/>
      <c r="J855" s="4"/>
    </row>
    <row r="856" spans="9:10" s="5" customFormat="1" ht="12.75">
      <c r="I856" s="4"/>
      <c r="J856" s="4"/>
    </row>
    <row r="857" spans="9:10" s="5" customFormat="1" ht="12.75">
      <c r="I857" s="4"/>
      <c r="J857" s="4"/>
    </row>
    <row r="858" spans="9:10" s="5" customFormat="1" ht="12.75">
      <c r="I858" s="4"/>
      <c r="J858" s="4"/>
    </row>
    <row r="859" spans="9:10" s="5" customFormat="1" ht="12.75">
      <c r="I859" s="4"/>
      <c r="J859" s="4"/>
    </row>
    <row r="860" spans="9:10" s="5" customFormat="1" ht="12.75">
      <c r="I860" s="4"/>
      <c r="J860" s="4"/>
    </row>
    <row r="861" spans="9:10" s="5" customFormat="1" ht="12.75">
      <c r="I861" s="4"/>
      <c r="J861" s="4"/>
    </row>
    <row r="862" spans="9:10" s="5" customFormat="1" ht="12.75">
      <c r="I862" s="4"/>
      <c r="J862" s="4"/>
    </row>
    <row r="863" spans="9:10" s="5" customFormat="1" ht="12.75">
      <c r="I863" s="4"/>
      <c r="J863" s="4"/>
    </row>
    <row r="864" spans="9:10" s="5" customFormat="1" ht="12.75">
      <c r="I864" s="4"/>
      <c r="J864" s="4"/>
    </row>
    <row r="865" spans="9:10" s="5" customFormat="1" ht="12.75">
      <c r="I865" s="4"/>
      <c r="J865" s="4"/>
    </row>
    <row r="866" spans="9:10" s="5" customFormat="1" ht="12.75">
      <c r="I866" s="4"/>
      <c r="J866" s="4"/>
    </row>
    <row r="867" spans="9:10" s="5" customFormat="1" ht="12.75">
      <c r="I867" s="4"/>
      <c r="J867" s="4"/>
    </row>
    <row r="868" spans="9:10" s="5" customFormat="1" ht="12.75">
      <c r="I868" s="4"/>
      <c r="J868" s="4"/>
    </row>
    <row r="869" spans="9:10" s="5" customFormat="1" ht="12.75">
      <c r="I869" s="4"/>
      <c r="J869" s="4"/>
    </row>
    <row r="870" spans="9:10" s="5" customFormat="1" ht="12.75">
      <c r="I870" s="4"/>
      <c r="J870" s="4"/>
    </row>
    <row r="871" spans="9:10" s="5" customFormat="1" ht="12.75">
      <c r="I871" s="4"/>
      <c r="J871" s="4"/>
    </row>
    <row r="872" spans="9:10" s="5" customFormat="1" ht="12.75">
      <c r="I872" s="4"/>
      <c r="J872" s="4"/>
    </row>
    <row r="873" spans="9:10" s="5" customFormat="1" ht="12.75">
      <c r="I873" s="4"/>
      <c r="J873" s="4"/>
    </row>
    <row r="874" spans="9:10" s="5" customFormat="1" ht="12.75">
      <c r="I874" s="4"/>
      <c r="J874" s="4"/>
    </row>
    <row r="875" spans="9:10" s="5" customFormat="1" ht="12.75">
      <c r="I875" s="4"/>
      <c r="J875" s="4"/>
    </row>
    <row r="876" spans="9:10" s="5" customFormat="1" ht="12.75">
      <c r="I876" s="4"/>
      <c r="J876" s="4"/>
    </row>
    <row r="877" spans="9:10" s="5" customFormat="1" ht="12.75">
      <c r="I877" s="4"/>
      <c r="J877" s="4"/>
    </row>
    <row r="878" spans="9:10" s="5" customFormat="1" ht="12.75">
      <c r="I878" s="4"/>
      <c r="J878" s="4"/>
    </row>
    <row r="879" spans="9:10" s="5" customFormat="1" ht="12.75">
      <c r="I879" s="4"/>
      <c r="J879" s="4"/>
    </row>
    <row r="880" spans="9:10" s="5" customFormat="1" ht="12.75">
      <c r="I880" s="4"/>
      <c r="J880" s="4"/>
    </row>
    <row r="881" spans="9:10" s="5" customFormat="1" ht="12.75">
      <c r="I881" s="4"/>
      <c r="J881" s="4"/>
    </row>
    <row r="882" spans="9:10" s="5" customFormat="1" ht="12.75">
      <c r="I882" s="4"/>
      <c r="J882" s="4"/>
    </row>
    <row r="883" spans="9:10" s="5" customFormat="1" ht="12.75">
      <c r="I883" s="4"/>
      <c r="J883" s="4"/>
    </row>
    <row r="884" spans="9:10" s="5" customFormat="1" ht="12.75">
      <c r="I884" s="4"/>
      <c r="J884" s="4"/>
    </row>
    <row r="885" spans="9:10" s="5" customFormat="1" ht="12.75">
      <c r="I885" s="4"/>
      <c r="J885" s="4"/>
    </row>
    <row r="886" spans="9:10" s="5" customFormat="1" ht="12.75">
      <c r="I886" s="4"/>
      <c r="J886" s="4"/>
    </row>
    <row r="887" spans="9:10" s="5" customFormat="1" ht="12.75">
      <c r="I887" s="4"/>
      <c r="J887" s="4"/>
    </row>
    <row r="888" spans="9:10" s="5" customFormat="1" ht="12.75">
      <c r="I888" s="4"/>
      <c r="J888" s="4"/>
    </row>
    <row r="889" spans="9:10" s="5" customFormat="1" ht="12.75">
      <c r="I889" s="4"/>
      <c r="J889" s="4"/>
    </row>
    <row r="890" spans="9:10" s="5" customFormat="1" ht="12.75">
      <c r="I890" s="4"/>
      <c r="J890" s="4"/>
    </row>
    <row r="891" spans="9:10" s="5" customFormat="1" ht="12.75">
      <c r="I891" s="4"/>
      <c r="J891" s="4"/>
    </row>
    <row r="892" spans="9:10" s="5" customFormat="1" ht="12.75">
      <c r="I892" s="4"/>
      <c r="J892" s="4"/>
    </row>
    <row r="893" spans="9:10" s="5" customFormat="1" ht="12.75">
      <c r="I893" s="4"/>
      <c r="J893" s="4"/>
    </row>
    <row r="894" spans="9:10" s="5" customFormat="1" ht="12.75">
      <c r="I894" s="4"/>
      <c r="J894" s="4"/>
    </row>
    <row r="895" spans="9:10" s="5" customFormat="1" ht="12.75">
      <c r="I895" s="4"/>
      <c r="J895" s="4"/>
    </row>
    <row r="896" spans="9:10" s="5" customFormat="1" ht="12.75">
      <c r="I896" s="4"/>
      <c r="J896" s="4"/>
    </row>
    <row r="897" spans="9:10" s="5" customFormat="1" ht="12.75">
      <c r="I897" s="4"/>
      <c r="J897" s="4"/>
    </row>
    <row r="898" spans="9:10" s="5" customFormat="1" ht="12.75">
      <c r="I898" s="4"/>
      <c r="J898" s="4"/>
    </row>
    <row r="899" spans="9:10" s="5" customFormat="1" ht="12.75">
      <c r="I899" s="4"/>
      <c r="J899" s="4"/>
    </row>
    <row r="900" spans="9:10" s="5" customFormat="1" ht="12.75">
      <c r="I900" s="4"/>
      <c r="J900" s="4"/>
    </row>
    <row r="901" spans="9:10" s="5" customFormat="1" ht="12.75">
      <c r="I901" s="4"/>
      <c r="J901" s="4"/>
    </row>
    <row r="902" spans="9:10" s="5" customFormat="1" ht="12.75">
      <c r="I902" s="4"/>
      <c r="J902" s="4"/>
    </row>
    <row r="903" spans="9:10" s="5" customFormat="1" ht="12.75">
      <c r="I903" s="4"/>
      <c r="J903" s="4"/>
    </row>
    <row r="904" spans="9:10" s="5" customFormat="1" ht="12.75">
      <c r="I904" s="4"/>
      <c r="J904" s="4"/>
    </row>
    <row r="905" spans="9:10" s="5" customFormat="1" ht="12.75">
      <c r="I905" s="4"/>
      <c r="J905" s="4"/>
    </row>
    <row r="906" spans="9:10" s="5" customFormat="1" ht="12.75">
      <c r="I906" s="4"/>
      <c r="J906" s="4"/>
    </row>
    <row r="907" spans="9:10" s="5" customFormat="1" ht="12.75">
      <c r="I907" s="4"/>
      <c r="J907" s="4"/>
    </row>
    <row r="908" spans="9:10" s="5" customFormat="1" ht="12.75">
      <c r="I908" s="4"/>
      <c r="J908" s="4"/>
    </row>
    <row r="909" spans="9:10" s="5" customFormat="1" ht="12.75">
      <c r="I909" s="4"/>
      <c r="J909" s="4"/>
    </row>
    <row r="910" spans="9:10" s="5" customFormat="1" ht="12.75">
      <c r="I910" s="4"/>
      <c r="J910" s="4"/>
    </row>
    <row r="911" spans="9:10" s="5" customFormat="1" ht="12.75">
      <c r="I911" s="4"/>
      <c r="J911" s="4"/>
    </row>
    <row r="912" spans="9:10" s="5" customFormat="1" ht="12.75">
      <c r="I912" s="4"/>
      <c r="J912" s="4"/>
    </row>
    <row r="913" spans="9:10" s="5" customFormat="1" ht="12.75">
      <c r="I913" s="4"/>
      <c r="J913" s="4"/>
    </row>
    <row r="914" spans="9:10" s="5" customFormat="1" ht="12.75">
      <c r="I914" s="4"/>
      <c r="J914" s="4"/>
    </row>
    <row r="915" spans="9:10" s="5" customFormat="1" ht="12.75">
      <c r="I915" s="4"/>
      <c r="J915" s="4"/>
    </row>
    <row r="916" spans="9:10" s="5" customFormat="1" ht="12.75">
      <c r="I916" s="4"/>
      <c r="J916" s="4"/>
    </row>
    <row r="917" spans="9:10" s="5" customFormat="1" ht="12.75">
      <c r="I917" s="4"/>
      <c r="J917" s="4"/>
    </row>
    <row r="918" spans="9:10" s="5" customFormat="1" ht="12.75">
      <c r="I918" s="4"/>
      <c r="J918" s="4"/>
    </row>
    <row r="919" spans="9:10" s="5" customFormat="1" ht="12.75">
      <c r="I919" s="4"/>
      <c r="J919" s="4"/>
    </row>
    <row r="920" spans="9:10" s="5" customFormat="1" ht="12.75">
      <c r="I920" s="4"/>
      <c r="J920" s="4"/>
    </row>
    <row r="921" spans="9:10" s="5" customFormat="1" ht="12.75">
      <c r="I921" s="4"/>
      <c r="J921" s="4"/>
    </row>
    <row r="922" spans="9:10" s="5" customFormat="1" ht="12.75">
      <c r="I922" s="4"/>
      <c r="J922" s="4"/>
    </row>
    <row r="923" spans="9:10" s="5" customFormat="1" ht="12.75">
      <c r="I923" s="4"/>
      <c r="J923" s="4"/>
    </row>
    <row r="924" spans="9:10" s="5" customFormat="1" ht="12.75">
      <c r="I924" s="4"/>
      <c r="J924" s="4"/>
    </row>
    <row r="925" spans="9:10" s="5" customFormat="1" ht="12.75">
      <c r="I925" s="4"/>
      <c r="J925" s="4"/>
    </row>
    <row r="926" spans="9:10" s="5" customFormat="1" ht="12.75">
      <c r="I926" s="4"/>
      <c r="J926" s="4"/>
    </row>
    <row r="927" spans="9:10" s="5" customFormat="1" ht="12.75">
      <c r="I927" s="4"/>
      <c r="J927" s="4"/>
    </row>
    <row r="928" spans="9:10" s="5" customFormat="1" ht="12.75">
      <c r="I928" s="4"/>
      <c r="J928" s="4"/>
    </row>
    <row r="929" spans="9:10" s="5" customFormat="1" ht="12.75">
      <c r="I929" s="4"/>
      <c r="J929" s="4"/>
    </row>
    <row r="930" spans="9:10" s="5" customFormat="1" ht="12.75">
      <c r="I930" s="4"/>
      <c r="J930" s="4"/>
    </row>
    <row r="931" spans="9:10" s="5" customFormat="1" ht="12.75">
      <c r="I931" s="4"/>
      <c r="J931" s="4"/>
    </row>
    <row r="932" spans="9:10" s="5" customFormat="1" ht="12.75">
      <c r="I932" s="4"/>
      <c r="J932" s="4"/>
    </row>
    <row r="933" spans="9:10" s="5" customFormat="1" ht="12.75">
      <c r="I933" s="4"/>
      <c r="J933" s="4"/>
    </row>
    <row r="934" spans="9:10" s="5" customFormat="1" ht="12.75">
      <c r="I934" s="4"/>
      <c r="J934" s="4"/>
    </row>
    <row r="935" spans="9:10" s="5" customFormat="1" ht="12.75">
      <c r="I935" s="4"/>
      <c r="J935" s="4"/>
    </row>
    <row r="936" spans="9:10" s="5" customFormat="1" ht="12.75">
      <c r="I936" s="4"/>
      <c r="J936" s="4"/>
    </row>
    <row r="937" spans="9:10" s="5" customFormat="1" ht="12.75">
      <c r="I937" s="4"/>
      <c r="J937" s="4"/>
    </row>
    <row r="938" spans="9:10" s="5" customFormat="1" ht="12.75">
      <c r="I938" s="4"/>
      <c r="J938" s="4"/>
    </row>
    <row r="939" spans="9:10" s="5" customFormat="1" ht="12.75">
      <c r="I939" s="4"/>
      <c r="J939" s="4"/>
    </row>
    <row r="940" spans="9:10" s="5" customFormat="1" ht="12.75">
      <c r="I940" s="4"/>
      <c r="J940" s="4"/>
    </row>
    <row r="941" spans="9:10" s="5" customFormat="1" ht="12.75">
      <c r="I941" s="4"/>
      <c r="J941" s="4"/>
    </row>
    <row r="942" spans="9:10" s="5" customFormat="1" ht="12.75">
      <c r="I942" s="4"/>
      <c r="J942" s="4"/>
    </row>
    <row r="943" spans="9:10" s="5" customFormat="1" ht="12.75">
      <c r="I943" s="4"/>
      <c r="J943" s="4"/>
    </row>
    <row r="944" spans="9:10" s="5" customFormat="1" ht="12.75">
      <c r="I944" s="4"/>
      <c r="J944" s="4"/>
    </row>
    <row r="945" spans="9:10" s="5" customFormat="1" ht="12.75">
      <c r="I945" s="4"/>
      <c r="J945" s="4"/>
    </row>
    <row r="946" spans="9:10" s="5" customFormat="1" ht="12.75">
      <c r="I946" s="4"/>
      <c r="J946" s="4"/>
    </row>
    <row r="947" spans="9:10" s="5" customFormat="1" ht="12.75">
      <c r="I947" s="4"/>
      <c r="J947" s="4"/>
    </row>
    <row r="948" spans="9:10" s="5" customFormat="1" ht="12.75">
      <c r="I948" s="4"/>
      <c r="J948" s="4"/>
    </row>
    <row r="949" spans="9:10" s="5" customFormat="1" ht="12.75">
      <c r="I949" s="4"/>
      <c r="J949" s="4"/>
    </row>
    <row r="950" spans="9:10" s="5" customFormat="1" ht="12.75">
      <c r="I950" s="4"/>
      <c r="J950" s="4"/>
    </row>
    <row r="951" spans="9:10" s="5" customFormat="1" ht="12.75">
      <c r="I951" s="4"/>
      <c r="J951" s="4"/>
    </row>
    <row r="952" spans="9:10" s="5" customFormat="1" ht="12.75">
      <c r="I952" s="4"/>
      <c r="J952" s="4"/>
    </row>
    <row r="953" spans="9:10" s="5" customFormat="1" ht="12.75">
      <c r="I953" s="4"/>
      <c r="J953" s="4"/>
    </row>
    <row r="954" spans="9:10" s="5" customFormat="1" ht="12.75">
      <c r="I954" s="4"/>
      <c r="J954" s="4"/>
    </row>
    <row r="955" spans="9:10" s="5" customFormat="1" ht="12.75">
      <c r="I955" s="4"/>
      <c r="J955" s="4"/>
    </row>
    <row r="956" spans="9:10" s="5" customFormat="1" ht="12.75">
      <c r="I956" s="4"/>
      <c r="J956" s="4"/>
    </row>
    <row r="957" spans="9:10" s="5" customFormat="1" ht="12.75">
      <c r="I957" s="4"/>
      <c r="J957" s="4"/>
    </row>
    <row r="958" spans="9:10" s="5" customFormat="1" ht="12.75">
      <c r="I958" s="4"/>
      <c r="J958" s="4"/>
    </row>
    <row r="959" spans="9:10" s="5" customFormat="1" ht="12.75">
      <c r="I959" s="4"/>
      <c r="J959" s="4"/>
    </row>
    <row r="960" spans="9:10" s="5" customFormat="1" ht="12.75">
      <c r="I960" s="4"/>
      <c r="J960" s="4"/>
    </row>
    <row r="961" spans="9:10" s="5" customFormat="1" ht="12.75">
      <c r="I961" s="4"/>
      <c r="J961" s="4"/>
    </row>
    <row r="962" spans="9:10" s="5" customFormat="1" ht="12.75">
      <c r="I962" s="4"/>
      <c r="J962" s="4"/>
    </row>
    <row r="963" spans="9:10" s="5" customFormat="1" ht="12.75">
      <c r="I963" s="4"/>
      <c r="J963" s="4"/>
    </row>
    <row r="964" spans="9:10" s="5" customFormat="1" ht="12.75">
      <c r="I964" s="4"/>
      <c r="J964" s="4"/>
    </row>
    <row r="965" spans="9:10" s="5" customFormat="1" ht="12.75">
      <c r="I965" s="4"/>
      <c r="J965" s="4"/>
    </row>
    <row r="966" spans="9:10" s="5" customFormat="1" ht="12.75">
      <c r="I966" s="4"/>
      <c r="J966" s="4"/>
    </row>
    <row r="967" spans="9:10" s="5" customFormat="1" ht="12.75">
      <c r="I967" s="4"/>
      <c r="J967" s="4"/>
    </row>
    <row r="968" spans="9:10" s="5" customFormat="1" ht="12.75">
      <c r="I968" s="4"/>
      <c r="J968" s="4"/>
    </row>
    <row r="969" spans="9:10" s="5" customFormat="1" ht="12.75">
      <c r="I969" s="4"/>
      <c r="J969" s="4"/>
    </row>
    <row r="970" spans="9:10" s="5" customFormat="1" ht="12.75">
      <c r="I970" s="4"/>
      <c r="J970" s="4"/>
    </row>
    <row r="971" spans="9:10" s="5" customFormat="1" ht="12.75">
      <c r="I971" s="4"/>
      <c r="J971" s="4"/>
    </row>
    <row r="972" spans="9:10" s="5" customFormat="1" ht="12.75">
      <c r="I972" s="4"/>
      <c r="J972" s="4"/>
    </row>
    <row r="973" spans="9:10" s="5" customFormat="1" ht="12.75">
      <c r="I973" s="4"/>
      <c r="J973" s="4"/>
    </row>
    <row r="974" spans="9:10" s="5" customFormat="1" ht="12.75">
      <c r="I974" s="4"/>
      <c r="J974" s="4"/>
    </row>
    <row r="975" spans="9:10" s="5" customFormat="1" ht="12.75">
      <c r="I975" s="4"/>
      <c r="J975" s="4"/>
    </row>
    <row r="976" spans="9:10" s="5" customFormat="1" ht="12.75">
      <c r="I976" s="4"/>
      <c r="J976" s="4"/>
    </row>
    <row r="977" spans="9:10" s="5" customFormat="1" ht="12.75">
      <c r="I977" s="4"/>
      <c r="J977" s="4"/>
    </row>
    <row r="978" spans="9:10" s="5" customFormat="1" ht="12.75">
      <c r="I978" s="4"/>
      <c r="J978" s="4"/>
    </row>
    <row r="979" spans="9:10" s="5" customFormat="1" ht="12.75">
      <c r="I979" s="4"/>
      <c r="J979" s="4"/>
    </row>
    <row r="980" spans="9:10" s="5" customFormat="1" ht="12.75">
      <c r="I980" s="4"/>
      <c r="J980" s="4"/>
    </row>
    <row r="981" spans="9:10" s="5" customFormat="1" ht="12.75">
      <c r="I981" s="4"/>
      <c r="J981" s="4"/>
    </row>
    <row r="982" spans="9:10" s="5" customFormat="1" ht="12.75">
      <c r="I982" s="4"/>
      <c r="J982" s="4"/>
    </row>
    <row r="983" spans="9:10" s="5" customFormat="1" ht="12.75">
      <c r="I983" s="4"/>
      <c r="J983" s="4"/>
    </row>
    <row r="984" spans="9:10" s="5" customFormat="1" ht="12.75">
      <c r="I984" s="4"/>
      <c r="J984" s="4"/>
    </row>
    <row r="985" spans="9:10" s="5" customFormat="1" ht="12.75">
      <c r="I985" s="4"/>
      <c r="J985" s="4"/>
    </row>
    <row r="986" spans="9:10" s="5" customFormat="1" ht="12.75">
      <c r="I986" s="4"/>
      <c r="J986" s="4"/>
    </row>
    <row r="987" spans="9:10" s="5" customFormat="1" ht="12.75">
      <c r="I987" s="4"/>
      <c r="J987" s="4"/>
    </row>
    <row r="988" spans="9:10" s="5" customFormat="1" ht="12.75">
      <c r="I988" s="4"/>
      <c r="J988" s="4"/>
    </row>
    <row r="989" spans="9:10" s="5" customFormat="1" ht="12.75">
      <c r="I989" s="4"/>
      <c r="J989" s="4"/>
    </row>
    <row r="990" spans="9:10" s="5" customFormat="1" ht="12.75">
      <c r="I990" s="4"/>
      <c r="J990" s="4"/>
    </row>
    <row r="991" spans="9:10" s="5" customFormat="1" ht="12.75">
      <c r="I991" s="4"/>
      <c r="J991" s="4"/>
    </row>
    <row r="992" spans="9:10" s="5" customFormat="1" ht="12.75">
      <c r="I992" s="4"/>
      <c r="J992" s="4"/>
    </row>
    <row r="993" spans="9:10" s="5" customFormat="1" ht="12.75">
      <c r="I993" s="4"/>
      <c r="J993" s="4"/>
    </row>
    <row r="994" spans="9:10" s="5" customFormat="1" ht="12.75">
      <c r="I994" s="4"/>
      <c r="J994" s="4"/>
    </row>
    <row r="995" spans="9:10" s="5" customFormat="1" ht="12.75">
      <c r="I995" s="4"/>
      <c r="J995" s="4"/>
    </row>
    <row r="996" spans="9:10" s="5" customFormat="1" ht="12.75">
      <c r="I996" s="4"/>
      <c r="J996" s="4"/>
    </row>
    <row r="997" spans="9:10" s="5" customFormat="1" ht="12.75">
      <c r="I997" s="4"/>
      <c r="J997" s="4"/>
    </row>
    <row r="998" spans="9:10" s="5" customFormat="1" ht="12.75">
      <c r="I998" s="4"/>
      <c r="J998" s="4"/>
    </row>
    <row r="999" spans="9:10" s="5" customFormat="1" ht="12.75">
      <c r="I999" s="4"/>
      <c r="J999" s="4"/>
    </row>
    <row r="1000" spans="9:10" s="5" customFormat="1" ht="12.75">
      <c r="I1000" s="4"/>
      <c r="J1000" s="4"/>
    </row>
    <row r="1001" spans="9:10" s="5" customFormat="1" ht="12.75">
      <c r="I1001" s="4"/>
      <c r="J1001" s="4"/>
    </row>
    <row r="1002" spans="9:10" s="5" customFormat="1" ht="12.75">
      <c r="I1002" s="4"/>
      <c r="J1002" s="4"/>
    </row>
    <row r="1003" spans="9:10" s="5" customFormat="1" ht="12.75">
      <c r="I1003" s="4"/>
      <c r="J1003" s="4"/>
    </row>
    <row r="1004" spans="9:10" s="5" customFormat="1" ht="12.75">
      <c r="I1004" s="4"/>
      <c r="J1004" s="4"/>
    </row>
    <row r="1005" spans="9:10" s="5" customFormat="1" ht="12.75">
      <c r="I1005" s="4"/>
      <c r="J1005" s="4"/>
    </row>
    <row r="1006" spans="9:10" s="5" customFormat="1" ht="12.75">
      <c r="I1006" s="4"/>
      <c r="J1006" s="4"/>
    </row>
    <row r="1007" spans="9:10" s="5" customFormat="1" ht="12.75">
      <c r="I1007" s="4"/>
      <c r="J1007" s="4"/>
    </row>
    <row r="1008" spans="9:10" s="5" customFormat="1" ht="12.75">
      <c r="I1008" s="4"/>
      <c r="J1008" s="4"/>
    </row>
    <row r="1009" spans="9:10" s="5" customFormat="1" ht="12.75">
      <c r="I1009" s="4"/>
      <c r="J1009" s="4"/>
    </row>
    <row r="1010" spans="9:10" s="5" customFormat="1" ht="12.75">
      <c r="I1010" s="4"/>
      <c r="J1010" s="4"/>
    </row>
    <row r="1011" spans="9:10" s="5" customFormat="1" ht="12.75">
      <c r="I1011" s="4"/>
      <c r="J1011" s="4"/>
    </row>
    <row r="1012" spans="9:10" s="5" customFormat="1" ht="12.75">
      <c r="I1012" s="4"/>
      <c r="J1012" s="4"/>
    </row>
    <row r="1013" spans="9:10" s="5" customFormat="1" ht="12.75">
      <c r="I1013" s="4"/>
      <c r="J1013" s="4"/>
    </row>
    <row r="1014" spans="9:10" s="5" customFormat="1" ht="12.75">
      <c r="I1014" s="4"/>
      <c r="J1014" s="4"/>
    </row>
    <row r="1015" spans="9:10" s="5" customFormat="1" ht="12.75">
      <c r="I1015" s="4"/>
      <c r="J1015" s="4"/>
    </row>
    <row r="1016" spans="9:10" s="5" customFormat="1" ht="12.75">
      <c r="I1016" s="4"/>
      <c r="J1016" s="4"/>
    </row>
    <row r="1017" spans="9:10" s="5" customFormat="1" ht="12.75">
      <c r="I1017" s="4"/>
      <c r="J1017" s="4"/>
    </row>
    <row r="1018" spans="9:10" s="5" customFormat="1" ht="12.75">
      <c r="I1018" s="4"/>
      <c r="J1018" s="4"/>
    </row>
    <row r="1019" spans="9:10" s="5" customFormat="1" ht="12.75">
      <c r="I1019" s="4"/>
      <c r="J1019" s="4"/>
    </row>
    <row r="1020" spans="9:10" s="5" customFormat="1" ht="12.75">
      <c r="I1020" s="4"/>
      <c r="J1020" s="4"/>
    </row>
    <row r="1021" spans="9:10" s="5" customFormat="1" ht="12.75">
      <c r="I1021" s="4"/>
      <c r="J1021" s="4"/>
    </row>
    <row r="1022" spans="9:10" s="5" customFormat="1" ht="12.75">
      <c r="I1022" s="4"/>
      <c r="J1022" s="4"/>
    </row>
    <row r="1023" spans="9:10" s="5" customFormat="1" ht="12.75">
      <c r="I1023" s="4"/>
      <c r="J1023" s="4"/>
    </row>
    <row r="1024" spans="9:10" s="5" customFormat="1" ht="12.75">
      <c r="I1024" s="4"/>
      <c r="J1024" s="4"/>
    </row>
    <row r="1025" spans="9:10" s="5" customFormat="1" ht="12.75">
      <c r="I1025" s="4"/>
      <c r="J1025" s="4"/>
    </row>
    <row r="1026" spans="9:10" s="5" customFormat="1" ht="12.75">
      <c r="I1026" s="4"/>
      <c r="J1026" s="4"/>
    </row>
    <row r="1027" spans="9:10" s="5" customFormat="1" ht="12.75">
      <c r="I1027" s="4"/>
      <c r="J1027" s="4"/>
    </row>
    <row r="1028" spans="9:10" s="5" customFormat="1" ht="12.75">
      <c r="I1028" s="4"/>
      <c r="J1028" s="4"/>
    </row>
    <row r="1029" spans="9:10" s="5" customFormat="1" ht="12.75">
      <c r="I1029" s="4"/>
      <c r="J1029" s="4"/>
    </row>
    <row r="1030" spans="9:10" s="5" customFormat="1" ht="12.75">
      <c r="I1030" s="4"/>
      <c r="J1030" s="4"/>
    </row>
    <row r="1031" spans="9:10" s="5" customFormat="1" ht="12.75">
      <c r="I1031" s="4"/>
      <c r="J1031" s="4"/>
    </row>
    <row r="1032" spans="9:10" s="5" customFormat="1" ht="12.75">
      <c r="I1032" s="4"/>
      <c r="J1032" s="4"/>
    </row>
    <row r="1033" spans="9:10" s="5" customFormat="1" ht="12.75">
      <c r="I1033" s="4"/>
      <c r="J1033" s="4"/>
    </row>
    <row r="1034" spans="9:10" s="5" customFormat="1" ht="12.75">
      <c r="I1034" s="4"/>
      <c r="J1034" s="4"/>
    </row>
    <row r="1035" spans="9:10" s="5" customFormat="1" ht="12.75">
      <c r="I1035" s="4"/>
      <c r="J1035" s="4"/>
    </row>
    <row r="1036" spans="9:10" s="5" customFormat="1" ht="12.75">
      <c r="I1036" s="4"/>
      <c r="J1036" s="4"/>
    </row>
    <row r="1037" spans="9:10" s="5" customFormat="1" ht="12.75">
      <c r="I1037" s="4"/>
      <c r="J1037" s="4"/>
    </row>
    <row r="1038" spans="9:10" s="5" customFormat="1" ht="12.75">
      <c r="I1038" s="4"/>
      <c r="J1038" s="4"/>
    </row>
    <row r="1039" spans="9:10" s="5" customFormat="1" ht="12.75">
      <c r="I1039" s="4"/>
      <c r="J1039" s="4"/>
    </row>
    <row r="1040" spans="9:10" s="5" customFormat="1" ht="12.75">
      <c r="I1040" s="4"/>
      <c r="J1040" s="4"/>
    </row>
    <row r="1041" spans="9:10" s="5" customFormat="1" ht="12.75">
      <c r="I1041" s="4"/>
      <c r="J1041" s="4"/>
    </row>
    <row r="1042" spans="9:10" s="5" customFormat="1" ht="12.75">
      <c r="I1042" s="4"/>
      <c r="J1042" s="4"/>
    </row>
    <row r="1043" spans="9:10" s="5" customFormat="1" ht="12.75">
      <c r="I1043" s="4"/>
      <c r="J1043" s="4"/>
    </row>
    <row r="1044" spans="9:10" s="5" customFormat="1" ht="12.75">
      <c r="I1044" s="4"/>
      <c r="J1044" s="4"/>
    </row>
    <row r="1045" spans="9:10" s="5" customFormat="1" ht="12.75">
      <c r="I1045" s="4"/>
      <c r="J1045" s="4"/>
    </row>
    <row r="1046" spans="9:10" s="5" customFormat="1" ht="12.75">
      <c r="I1046" s="4"/>
      <c r="J1046" s="4"/>
    </row>
    <row r="1047" spans="9:10" s="5" customFormat="1" ht="12.75">
      <c r="I1047" s="4"/>
      <c r="J1047" s="4"/>
    </row>
    <row r="1048" spans="9:10" s="5" customFormat="1" ht="12.75">
      <c r="I1048" s="4"/>
      <c r="J1048" s="4"/>
    </row>
    <row r="1049" spans="9:10" s="5" customFormat="1" ht="12.75">
      <c r="I1049" s="4"/>
      <c r="J1049" s="4"/>
    </row>
    <row r="1050" spans="9:10" s="5" customFormat="1" ht="12.75">
      <c r="I1050" s="4"/>
      <c r="J1050" s="4"/>
    </row>
    <row r="1051" spans="9:10" s="5" customFormat="1" ht="12.75">
      <c r="I1051" s="4"/>
      <c r="J1051" s="4"/>
    </row>
    <row r="1052" spans="9:10" s="5" customFormat="1" ht="12.75">
      <c r="I1052" s="4"/>
      <c r="J1052" s="4"/>
    </row>
    <row r="1053" spans="9:10" s="5" customFormat="1" ht="12.75">
      <c r="I1053" s="4"/>
      <c r="J1053" s="4"/>
    </row>
    <row r="1054" spans="9:10" s="5" customFormat="1" ht="12.75">
      <c r="I1054" s="4"/>
      <c r="J1054" s="4"/>
    </row>
    <row r="1055" spans="9:10" s="5" customFormat="1" ht="12.75">
      <c r="I1055" s="4"/>
      <c r="J1055" s="4"/>
    </row>
    <row r="1056" spans="9:10" s="5" customFormat="1" ht="12.75">
      <c r="I1056" s="4"/>
      <c r="J1056" s="4"/>
    </row>
    <row r="1057" spans="9:10" s="5" customFormat="1" ht="12.75">
      <c r="I1057" s="4"/>
      <c r="J1057" s="4"/>
    </row>
    <row r="1058" spans="9:10" s="5" customFormat="1" ht="12.75">
      <c r="I1058" s="4"/>
      <c r="J1058" s="4"/>
    </row>
    <row r="1059" spans="9:10" s="5" customFormat="1" ht="12.75">
      <c r="I1059" s="4"/>
      <c r="J1059" s="4"/>
    </row>
    <row r="1060" spans="9:10" s="5" customFormat="1" ht="12.75">
      <c r="I1060" s="4"/>
      <c r="J1060" s="4"/>
    </row>
    <row r="1061" spans="9:10" s="5" customFormat="1" ht="12.75">
      <c r="I1061" s="4"/>
      <c r="J1061" s="4"/>
    </row>
    <row r="1062" spans="9:10" s="5" customFormat="1" ht="12.75">
      <c r="I1062" s="4"/>
      <c r="J1062" s="4"/>
    </row>
    <row r="1063" spans="9:10" s="5" customFormat="1" ht="12.75">
      <c r="I1063" s="4"/>
      <c r="J1063" s="4"/>
    </row>
    <row r="1064" spans="9:10" s="5" customFormat="1" ht="12.75">
      <c r="I1064" s="4"/>
      <c r="J1064" s="4"/>
    </row>
    <row r="1065" spans="9:10" s="5" customFormat="1" ht="12.75">
      <c r="I1065" s="4"/>
      <c r="J1065" s="4"/>
    </row>
    <row r="1066" spans="9:10" s="5" customFormat="1" ht="12.75">
      <c r="I1066" s="4"/>
      <c r="J1066" s="4"/>
    </row>
    <row r="1067" spans="9:10" s="5" customFormat="1" ht="12.75">
      <c r="I1067" s="4"/>
      <c r="J1067" s="4"/>
    </row>
    <row r="1068" spans="9:10" s="5" customFormat="1" ht="12.75">
      <c r="I1068" s="4"/>
      <c r="J1068" s="4"/>
    </row>
    <row r="1069" spans="9:10" s="5" customFormat="1" ht="12.75">
      <c r="I1069" s="4"/>
      <c r="J1069" s="4"/>
    </row>
    <row r="1070" spans="9:10" s="5" customFormat="1" ht="12.75">
      <c r="I1070" s="4"/>
      <c r="J1070" s="4"/>
    </row>
    <row r="1071" spans="9:10" s="5" customFormat="1" ht="12.75">
      <c r="I1071" s="4"/>
      <c r="J1071" s="4"/>
    </row>
    <row r="1072" spans="9:10" s="5" customFormat="1" ht="12.75">
      <c r="I1072" s="4"/>
      <c r="J1072" s="4"/>
    </row>
    <row r="1073" spans="9:10" s="5" customFormat="1" ht="12.75">
      <c r="I1073" s="4"/>
      <c r="J1073" s="4"/>
    </row>
    <row r="1074" spans="9:10" s="5" customFormat="1" ht="12.75">
      <c r="I1074" s="4"/>
      <c r="J1074" s="4"/>
    </row>
    <row r="1075" spans="9:10" s="5" customFormat="1" ht="12.75">
      <c r="I1075" s="4"/>
      <c r="J1075" s="4"/>
    </row>
    <row r="1076" spans="9:10" s="5" customFormat="1" ht="12.75">
      <c r="I1076" s="4"/>
      <c r="J1076" s="4"/>
    </row>
    <row r="1077" spans="9:10" s="5" customFormat="1" ht="12.75">
      <c r="I1077" s="4"/>
      <c r="J1077" s="4"/>
    </row>
    <row r="1078" spans="9:10" s="5" customFormat="1" ht="12.75">
      <c r="I1078" s="4"/>
      <c r="J1078" s="4"/>
    </row>
    <row r="1079" spans="9:10" s="5" customFormat="1" ht="12.75">
      <c r="I1079" s="4"/>
      <c r="J1079" s="4"/>
    </row>
    <row r="1080" spans="9:10" s="5" customFormat="1" ht="12.75">
      <c r="I1080" s="4"/>
      <c r="J1080" s="4"/>
    </row>
    <row r="1081" spans="9:10" s="5" customFormat="1" ht="12.75">
      <c r="I1081" s="4"/>
      <c r="J1081" s="4"/>
    </row>
    <row r="1082" spans="9:10" s="5" customFormat="1" ht="12.75">
      <c r="I1082" s="4"/>
      <c r="J1082" s="4"/>
    </row>
    <row r="1083" spans="9:10" s="5" customFormat="1" ht="12.75">
      <c r="I1083" s="4"/>
      <c r="J1083" s="4"/>
    </row>
    <row r="1084" spans="9:10" s="5" customFormat="1" ht="12.75">
      <c r="I1084" s="4"/>
      <c r="J1084" s="4"/>
    </row>
    <row r="1085" spans="9:10" s="5" customFormat="1" ht="12.75">
      <c r="I1085" s="4"/>
      <c r="J1085" s="4"/>
    </row>
    <row r="1086" spans="9:10" s="5" customFormat="1" ht="12.75">
      <c r="I1086" s="4"/>
      <c r="J1086" s="4"/>
    </row>
    <row r="1087" spans="9:10" s="5" customFormat="1" ht="12.75">
      <c r="I1087" s="4"/>
      <c r="J1087" s="4"/>
    </row>
    <row r="1088" spans="9:10" s="5" customFormat="1" ht="12.75">
      <c r="I1088" s="4"/>
      <c r="J1088" s="4"/>
    </row>
    <row r="1089" spans="9:10" s="5" customFormat="1" ht="12.75">
      <c r="I1089" s="4"/>
      <c r="J1089" s="4"/>
    </row>
    <row r="1090" spans="9:10" s="5" customFormat="1" ht="12.75">
      <c r="I1090" s="4"/>
      <c r="J1090" s="4"/>
    </row>
    <row r="1091" spans="9:10" s="5" customFormat="1" ht="12.75">
      <c r="I1091" s="4"/>
      <c r="J1091" s="4"/>
    </row>
    <row r="1092" spans="9:10" s="5" customFormat="1" ht="12.75">
      <c r="I1092" s="4"/>
      <c r="J1092" s="4"/>
    </row>
    <row r="1093" spans="9:10" s="5" customFormat="1" ht="12.75">
      <c r="I1093" s="4"/>
      <c r="J1093" s="4"/>
    </row>
    <row r="1094" spans="9:10" s="5" customFormat="1" ht="12.75">
      <c r="I1094" s="4"/>
      <c r="J1094" s="4"/>
    </row>
    <row r="1095" spans="9:10" s="5" customFormat="1" ht="12.75">
      <c r="I1095" s="4"/>
      <c r="J1095" s="4"/>
    </row>
    <row r="1096" spans="9:10" s="5" customFormat="1" ht="12.75">
      <c r="I1096" s="4"/>
      <c r="J1096" s="4"/>
    </row>
    <row r="1097" spans="9:10" s="5" customFormat="1" ht="12.75">
      <c r="I1097" s="4"/>
      <c r="J1097" s="4"/>
    </row>
    <row r="1098" spans="9:10" s="5" customFormat="1" ht="12.75">
      <c r="I1098" s="4"/>
      <c r="J1098" s="4"/>
    </row>
    <row r="1099" spans="9:10" s="5" customFormat="1" ht="12.75">
      <c r="I1099" s="4"/>
      <c r="J1099" s="4"/>
    </row>
    <row r="1100" spans="9:10" s="5" customFormat="1" ht="12.75">
      <c r="I1100" s="4"/>
      <c r="J1100" s="4"/>
    </row>
    <row r="1101" spans="9:10" s="5" customFormat="1" ht="12.75">
      <c r="I1101" s="4"/>
      <c r="J1101" s="4"/>
    </row>
    <row r="1102" spans="9:10" s="5" customFormat="1" ht="12.75">
      <c r="I1102" s="4"/>
      <c r="J1102" s="4"/>
    </row>
    <row r="1103" spans="9:10" s="5" customFormat="1" ht="12.75">
      <c r="I1103" s="4"/>
      <c r="J1103" s="4"/>
    </row>
    <row r="1104" spans="9:10" s="5" customFormat="1" ht="12.75">
      <c r="I1104" s="4"/>
      <c r="J1104" s="4"/>
    </row>
    <row r="1105" spans="9:10" s="5" customFormat="1" ht="12.75">
      <c r="I1105" s="4"/>
      <c r="J1105" s="4"/>
    </row>
    <row r="1106" spans="9:10" s="5" customFormat="1" ht="12.75">
      <c r="I1106" s="4"/>
      <c r="J1106" s="4"/>
    </row>
    <row r="1107" spans="9:10" s="5" customFormat="1" ht="12.75">
      <c r="I1107" s="4"/>
      <c r="J1107" s="4"/>
    </row>
    <row r="1108" spans="9:10" s="5" customFormat="1" ht="12.75">
      <c r="I1108" s="4"/>
      <c r="J1108" s="4"/>
    </row>
    <row r="1109" spans="9:10" s="5" customFormat="1" ht="12.75">
      <c r="I1109" s="4"/>
      <c r="J1109" s="4"/>
    </row>
    <row r="1110" spans="9:10" s="5" customFormat="1" ht="12.75">
      <c r="I1110" s="4"/>
      <c r="J1110" s="4"/>
    </row>
    <row r="1111" spans="9:10" s="5" customFormat="1" ht="12.75">
      <c r="I1111" s="4"/>
      <c r="J1111" s="4"/>
    </row>
    <row r="1112" spans="9:10" s="5" customFormat="1" ht="12.75">
      <c r="I1112" s="4"/>
      <c r="J1112" s="4"/>
    </row>
    <row r="1113" spans="9:10" s="5" customFormat="1" ht="12.75">
      <c r="I1113" s="4"/>
      <c r="J1113" s="4"/>
    </row>
    <row r="1114" spans="9:10" s="5" customFormat="1" ht="12.75">
      <c r="I1114" s="4"/>
      <c r="J1114" s="4"/>
    </row>
    <row r="1115" spans="9:10" s="5" customFormat="1" ht="12.75">
      <c r="I1115" s="4"/>
      <c r="J1115" s="4"/>
    </row>
    <row r="1116" spans="9:10" s="5" customFormat="1" ht="12.75">
      <c r="I1116" s="4"/>
      <c r="J1116" s="4"/>
    </row>
    <row r="1117" spans="9:10" s="5" customFormat="1" ht="12.75">
      <c r="I1117" s="4"/>
      <c r="J1117" s="4"/>
    </row>
    <row r="1118" spans="9:10" s="5" customFormat="1" ht="12.75">
      <c r="I1118" s="4"/>
      <c r="J1118" s="4"/>
    </row>
    <row r="1119" spans="9:10" s="5" customFormat="1" ht="12.75">
      <c r="I1119" s="4"/>
      <c r="J1119" s="4"/>
    </row>
    <row r="1120" spans="9:10" s="5" customFormat="1" ht="12.75">
      <c r="I1120" s="4"/>
      <c r="J1120" s="4"/>
    </row>
    <row r="1121" spans="9:10" s="5" customFormat="1" ht="12.75">
      <c r="I1121" s="4"/>
      <c r="J1121" s="4"/>
    </row>
    <row r="1122" spans="9:10" s="5" customFormat="1" ht="12.75">
      <c r="I1122" s="4"/>
      <c r="J1122" s="4"/>
    </row>
    <row r="1123" spans="9:10" s="5" customFormat="1" ht="12.75">
      <c r="I1123" s="4"/>
      <c r="J1123" s="4"/>
    </row>
    <row r="1124" spans="9:10" s="5" customFormat="1" ht="12.75">
      <c r="I1124" s="4"/>
      <c r="J1124" s="4"/>
    </row>
    <row r="1125" spans="9:10" s="5" customFormat="1" ht="12.75">
      <c r="I1125" s="4"/>
      <c r="J1125" s="4"/>
    </row>
    <row r="1126" spans="9:10" s="5" customFormat="1" ht="12.75">
      <c r="I1126" s="4"/>
      <c r="J1126" s="4"/>
    </row>
    <row r="1127" spans="9:10" s="5" customFormat="1" ht="12.75">
      <c r="I1127" s="4"/>
      <c r="J1127" s="4"/>
    </row>
    <row r="1128" spans="9:10" s="5" customFormat="1" ht="12.75">
      <c r="I1128" s="4"/>
      <c r="J1128" s="4"/>
    </row>
    <row r="1129" spans="9:10" s="5" customFormat="1" ht="12.75">
      <c r="I1129" s="4"/>
      <c r="J1129" s="4"/>
    </row>
    <row r="1130" spans="9:10" s="5" customFormat="1" ht="12.75">
      <c r="I1130" s="4"/>
      <c r="J1130" s="4"/>
    </row>
    <row r="1131" spans="9:10" s="5" customFormat="1" ht="12.75">
      <c r="I1131" s="4"/>
      <c r="J1131" s="4"/>
    </row>
    <row r="1132" spans="9:10" s="5" customFormat="1" ht="12.75">
      <c r="I1132" s="4"/>
      <c r="J1132" s="4"/>
    </row>
    <row r="1133" spans="9:10" s="5" customFormat="1" ht="12.75">
      <c r="I1133" s="4"/>
      <c r="J1133" s="4"/>
    </row>
    <row r="1134" spans="9:10" s="5" customFormat="1" ht="12.75">
      <c r="I1134" s="4"/>
      <c r="J1134" s="4"/>
    </row>
    <row r="1135" spans="9:10" s="5" customFormat="1" ht="12.75">
      <c r="I1135" s="4"/>
      <c r="J1135" s="4"/>
    </row>
    <row r="1136" spans="9:10" s="5" customFormat="1" ht="12.75">
      <c r="I1136" s="4"/>
      <c r="J1136" s="4"/>
    </row>
    <row r="1137" spans="9:10" s="5" customFormat="1" ht="12.75">
      <c r="I1137" s="4"/>
      <c r="J1137" s="4"/>
    </row>
    <row r="1138" spans="9:10" s="5" customFormat="1" ht="12.75">
      <c r="I1138" s="4"/>
      <c r="J1138" s="4"/>
    </row>
    <row r="1139" spans="9:10" s="5" customFormat="1" ht="12.75">
      <c r="I1139" s="4"/>
      <c r="J1139" s="4"/>
    </row>
    <row r="1140" spans="9:10" s="5" customFormat="1" ht="12.75">
      <c r="I1140" s="4"/>
      <c r="J1140" s="4"/>
    </row>
    <row r="1141" spans="9:10" s="5" customFormat="1" ht="12.75">
      <c r="I1141" s="4"/>
      <c r="J1141" s="4"/>
    </row>
    <row r="1142" spans="9:10" s="5" customFormat="1" ht="12.75">
      <c r="I1142" s="4"/>
      <c r="J1142" s="4"/>
    </row>
    <row r="1143" spans="9:10" s="5" customFormat="1" ht="12.75">
      <c r="I1143" s="4"/>
      <c r="J1143" s="4"/>
    </row>
    <row r="1144" spans="9:10" s="5" customFormat="1" ht="12.75">
      <c r="I1144" s="4"/>
      <c r="J1144" s="4"/>
    </row>
    <row r="1145" spans="9:10" s="5" customFormat="1" ht="12.75">
      <c r="I1145" s="4"/>
      <c r="J1145" s="4"/>
    </row>
    <row r="1146" spans="9:10" s="5" customFormat="1" ht="12.75">
      <c r="I1146" s="4"/>
      <c r="J1146" s="4"/>
    </row>
    <row r="1147" spans="9:10" s="5" customFormat="1" ht="12.75">
      <c r="I1147" s="4"/>
      <c r="J1147" s="4"/>
    </row>
    <row r="1148" spans="9:10" s="5" customFormat="1" ht="12.75">
      <c r="I1148" s="4"/>
      <c r="J1148" s="4"/>
    </row>
    <row r="1149" spans="9:10" s="5" customFormat="1" ht="12.75">
      <c r="I1149" s="4"/>
      <c r="J1149" s="4"/>
    </row>
    <row r="1150" spans="9:10" s="5" customFormat="1" ht="12.75">
      <c r="I1150" s="4"/>
      <c r="J1150" s="4"/>
    </row>
    <row r="1151" spans="9:10" s="5" customFormat="1" ht="12.75">
      <c r="I1151" s="4"/>
      <c r="J1151" s="4"/>
    </row>
    <row r="1152" spans="9:10" s="5" customFormat="1" ht="12.75">
      <c r="I1152" s="4"/>
      <c r="J1152" s="4"/>
    </row>
    <row r="1153" spans="9:10" s="5" customFormat="1" ht="12.75">
      <c r="I1153" s="4"/>
      <c r="J1153" s="4"/>
    </row>
    <row r="1154" spans="9:10" s="5" customFormat="1" ht="12.75">
      <c r="I1154" s="4"/>
      <c r="J1154" s="4"/>
    </row>
    <row r="1155" spans="9:10" s="5" customFormat="1" ht="12.75">
      <c r="I1155" s="4"/>
      <c r="J1155" s="4"/>
    </row>
    <row r="1156" spans="9:10" s="5" customFormat="1" ht="12.75">
      <c r="I1156" s="4"/>
      <c r="J1156" s="4"/>
    </row>
    <row r="1157" spans="9:10" s="5" customFormat="1" ht="12.75">
      <c r="I1157" s="4"/>
      <c r="J1157" s="4"/>
    </row>
    <row r="1158" spans="9:10" s="5" customFormat="1" ht="12.75">
      <c r="I1158" s="4"/>
      <c r="J1158" s="4"/>
    </row>
    <row r="1159" spans="9:10" s="5" customFormat="1" ht="12.75">
      <c r="I1159" s="4"/>
      <c r="J1159" s="4"/>
    </row>
    <row r="1160" spans="9:10" s="5" customFormat="1" ht="12.75">
      <c r="I1160" s="4"/>
      <c r="J1160" s="4"/>
    </row>
    <row r="1161" spans="9:10" s="5" customFormat="1" ht="12.75">
      <c r="I1161" s="4"/>
      <c r="J1161" s="4"/>
    </row>
    <row r="1162" spans="9:10" s="5" customFormat="1" ht="12.75">
      <c r="I1162" s="4"/>
      <c r="J1162" s="4"/>
    </row>
    <row r="1163" spans="9:10" s="5" customFormat="1" ht="12.75">
      <c r="I1163" s="4"/>
      <c r="J1163" s="4"/>
    </row>
    <row r="1164" spans="9:10" s="5" customFormat="1" ht="12.75">
      <c r="I1164" s="4"/>
      <c r="J1164" s="4"/>
    </row>
    <row r="1165" spans="9:10" s="5" customFormat="1" ht="12.75">
      <c r="I1165" s="4"/>
      <c r="J1165" s="4"/>
    </row>
    <row r="1166" spans="9:10" s="5" customFormat="1" ht="12.75">
      <c r="I1166" s="4"/>
      <c r="J1166" s="4"/>
    </row>
    <row r="1167" spans="9:10" s="5" customFormat="1" ht="12.75">
      <c r="I1167" s="4"/>
      <c r="J1167" s="4"/>
    </row>
    <row r="1168" spans="9:10" s="5" customFormat="1" ht="12.75">
      <c r="I1168" s="4"/>
      <c r="J1168" s="4"/>
    </row>
    <row r="1169" spans="9:10" s="5" customFormat="1" ht="12.75">
      <c r="I1169" s="4"/>
      <c r="J1169" s="4"/>
    </row>
    <row r="1170" spans="9:10" s="5" customFormat="1" ht="12.75">
      <c r="I1170" s="4"/>
      <c r="J1170" s="4"/>
    </row>
    <row r="1171" spans="9:10" s="5" customFormat="1" ht="12.75">
      <c r="I1171" s="4"/>
      <c r="J1171" s="4"/>
    </row>
    <row r="1172" spans="9:10" s="5" customFormat="1" ht="12.75">
      <c r="I1172" s="4"/>
      <c r="J1172" s="4"/>
    </row>
    <row r="1173" spans="9:10" s="5" customFormat="1" ht="12.75">
      <c r="I1173" s="4"/>
      <c r="J1173" s="4"/>
    </row>
    <row r="1174" spans="9:10" s="5" customFormat="1" ht="12.75">
      <c r="I1174" s="4"/>
      <c r="J1174" s="4"/>
    </row>
    <row r="1175" spans="9:10" s="5" customFormat="1" ht="12.75">
      <c r="I1175" s="4"/>
      <c r="J1175" s="4"/>
    </row>
    <row r="1176" spans="9:10" s="5" customFormat="1" ht="12.75">
      <c r="I1176" s="4"/>
      <c r="J1176" s="4"/>
    </row>
    <row r="1177" spans="9:10" s="5" customFormat="1" ht="12.75">
      <c r="I1177" s="4"/>
      <c r="J1177" s="4"/>
    </row>
    <row r="1178" spans="9:10" s="5" customFormat="1" ht="12.75">
      <c r="I1178" s="4"/>
      <c r="J1178" s="4"/>
    </row>
    <row r="1179" spans="9:10" s="5" customFormat="1" ht="12.75">
      <c r="I1179" s="4"/>
      <c r="J1179" s="4"/>
    </row>
    <row r="1180" spans="9:10" s="5" customFormat="1" ht="12.75">
      <c r="I1180" s="4"/>
      <c r="J1180" s="4"/>
    </row>
    <row r="1181" spans="9:10" s="5" customFormat="1" ht="12.75">
      <c r="I1181" s="4"/>
      <c r="J1181" s="4"/>
    </row>
    <row r="1182" spans="9:10" s="5" customFormat="1" ht="12.75">
      <c r="I1182" s="4"/>
      <c r="J1182" s="4"/>
    </row>
    <row r="1183" spans="9:10" s="5" customFormat="1" ht="12.75">
      <c r="I1183" s="4"/>
      <c r="J1183" s="4"/>
    </row>
    <row r="1184" spans="9:10" s="5" customFormat="1" ht="12.75">
      <c r="I1184" s="4"/>
      <c r="J1184" s="4"/>
    </row>
    <row r="1185" spans="9:10" s="5" customFormat="1" ht="12.75">
      <c r="I1185" s="4"/>
      <c r="J1185" s="4"/>
    </row>
    <row r="1186" spans="9:10" s="5" customFormat="1" ht="12.75">
      <c r="I1186" s="4"/>
      <c r="J1186" s="4"/>
    </row>
    <row r="1187" spans="9:10" s="5" customFormat="1" ht="12.75">
      <c r="I1187" s="4"/>
      <c r="J1187" s="4"/>
    </row>
    <row r="1188" spans="9:10" s="5" customFormat="1" ht="12.75">
      <c r="I1188" s="4"/>
      <c r="J1188" s="4"/>
    </row>
    <row r="1189" spans="9:10" s="5" customFormat="1" ht="12.75">
      <c r="I1189" s="4"/>
      <c r="J1189" s="4"/>
    </row>
    <row r="1190" spans="9:10" s="5" customFormat="1" ht="12.75">
      <c r="I1190" s="4"/>
      <c r="J1190" s="4"/>
    </row>
    <row r="1191" spans="9:10" s="5" customFormat="1" ht="12.75">
      <c r="I1191" s="4"/>
      <c r="J1191" s="4"/>
    </row>
    <row r="1192" spans="9:10" s="5" customFormat="1" ht="12.75">
      <c r="I1192" s="4"/>
      <c r="J1192" s="4"/>
    </row>
    <row r="1193" spans="9:10" s="5" customFormat="1" ht="12.75">
      <c r="I1193" s="4"/>
      <c r="J1193" s="4"/>
    </row>
    <row r="1194" spans="9:10" s="5" customFormat="1" ht="12.75">
      <c r="I1194" s="4"/>
      <c r="J1194" s="4"/>
    </row>
    <row r="1195" spans="9:10" s="5" customFormat="1" ht="12.75">
      <c r="I1195" s="4"/>
      <c r="J1195" s="4"/>
    </row>
    <row r="1196" spans="9:10" s="5" customFormat="1" ht="12.75">
      <c r="I1196" s="4"/>
      <c r="J1196" s="4"/>
    </row>
    <row r="1197" spans="9:10" s="5" customFormat="1" ht="12.75">
      <c r="I1197" s="4"/>
      <c r="J1197" s="4"/>
    </row>
    <row r="1198" spans="9:10" s="5" customFormat="1" ht="12.75">
      <c r="I1198" s="4"/>
      <c r="J1198" s="4"/>
    </row>
    <row r="1199" spans="9:10" s="5" customFormat="1" ht="12.75">
      <c r="I1199" s="4"/>
      <c r="J1199" s="4"/>
    </row>
    <row r="1200" spans="9:10" s="5" customFormat="1" ht="12.75">
      <c r="I1200" s="4"/>
      <c r="J1200" s="4"/>
    </row>
    <row r="1201" spans="9:10" s="5" customFormat="1" ht="12.75">
      <c r="I1201" s="4"/>
      <c r="J1201" s="4"/>
    </row>
    <row r="1202" spans="9:10" s="5" customFormat="1" ht="12.75">
      <c r="I1202" s="4"/>
      <c r="J1202" s="4"/>
    </row>
    <row r="1203" spans="9:10" s="5" customFormat="1" ht="12.75">
      <c r="I1203" s="4"/>
      <c r="J1203" s="4"/>
    </row>
    <row r="1204" spans="9:10" s="5" customFormat="1" ht="12.75">
      <c r="I1204" s="4"/>
      <c r="J1204" s="4"/>
    </row>
    <row r="1205" spans="9:10" s="5" customFormat="1" ht="12.75">
      <c r="I1205" s="4"/>
      <c r="J1205" s="4"/>
    </row>
    <row r="1206" spans="9:10" s="5" customFormat="1" ht="12.75">
      <c r="I1206" s="4"/>
      <c r="J1206" s="4"/>
    </row>
    <row r="1207" spans="9:10" s="5" customFormat="1" ht="12.75">
      <c r="I1207" s="4"/>
      <c r="J1207" s="4"/>
    </row>
    <row r="1208" spans="9:10" s="5" customFormat="1" ht="12.75">
      <c r="I1208" s="4"/>
      <c r="J1208" s="4"/>
    </row>
    <row r="1209" spans="9:10" s="5" customFormat="1" ht="12.75">
      <c r="I1209" s="4"/>
      <c r="J1209" s="4"/>
    </row>
    <row r="1210" spans="9:10" s="5" customFormat="1" ht="12.75">
      <c r="I1210" s="4"/>
      <c r="J1210" s="4"/>
    </row>
    <row r="1211" spans="9:10" s="5" customFormat="1" ht="12.75">
      <c r="I1211" s="4"/>
      <c r="J1211" s="4"/>
    </row>
    <row r="1212" spans="9:10" s="5" customFormat="1" ht="12.75">
      <c r="I1212" s="4"/>
      <c r="J1212" s="4"/>
    </row>
    <row r="1213" spans="9:10" s="5" customFormat="1" ht="12.75">
      <c r="I1213" s="4"/>
      <c r="J1213" s="4"/>
    </row>
    <row r="1214" spans="9:10" s="5" customFormat="1" ht="12.75">
      <c r="I1214" s="4"/>
      <c r="J1214" s="4"/>
    </row>
    <row r="1215" spans="9:10" s="5" customFormat="1" ht="12.75">
      <c r="I1215" s="4"/>
      <c r="J1215" s="4"/>
    </row>
    <row r="1216" spans="9:10" s="5" customFormat="1" ht="12.75">
      <c r="I1216" s="4"/>
      <c r="J1216" s="4"/>
    </row>
    <row r="1217" spans="9:10" s="5" customFormat="1" ht="12.75">
      <c r="I1217" s="4"/>
      <c r="J1217" s="4"/>
    </row>
    <row r="1218" spans="9:10" s="5" customFormat="1" ht="12.75">
      <c r="I1218" s="4"/>
      <c r="J1218" s="4"/>
    </row>
    <row r="1219" spans="9:10" s="5" customFormat="1" ht="12.75">
      <c r="I1219" s="4"/>
      <c r="J1219" s="4"/>
    </row>
    <row r="1220" spans="9:10" s="5" customFormat="1" ht="12.75">
      <c r="I1220" s="4"/>
      <c r="J1220" s="4"/>
    </row>
    <row r="1221" spans="9:10" s="5" customFormat="1" ht="12.75">
      <c r="I1221" s="4"/>
      <c r="J1221" s="4"/>
    </row>
    <row r="1222" spans="9:10" s="5" customFormat="1" ht="12.75">
      <c r="I1222" s="4"/>
      <c r="J1222" s="4"/>
    </row>
    <row r="1223" spans="9:10" s="5" customFormat="1" ht="12.75">
      <c r="I1223" s="4"/>
      <c r="J1223" s="4"/>
    </row>
    <row r="1224" spans="9:10" s="5" customFormat="1" ht="12.75">
      <c r="I1224" s="4"/>
      <c r="J1224" s="4"/>
    </row>
    <row r="1225" spans="9:10" s="5" customFormat="1" ht="12.75">
      <c r="I1225" s="4"/>
      <c r="J1225" s="4"/>
    </row>
    <row r="1226" spans="9:10" s="5" customFormat="1" ht="12.75">
      <c r="I1226" s="4"/>
      <c r="J1226" s="4"/>
    </row>
    <row r="1227" spans="9:10" s="5" customFormat="1" ht="12.75">
      <c r="I1227" s="4"/>
      <c r="J1227" s="4"/>
    </row>
    <row r="1228" spans="9:10" s="5" customFormat="1" ht="12.75">
      <c r="I1228" s="4"/>
      <c r="J1228" s="4"/>
    </row>
    <row r="1229" spans="9:10" s="5" customFormat="1" ht="12.75">
      <c r="I1229" s="4"/>
      <c r="J1229" s="4"/>
    </row>
    <row r="1230" spans="9:10" s="5" customFormat="1" ht="12.75">
      <c r="I1230" s="4"/>
      <c r="J1230" s="4"/>
    </row>
    <row r="1231" spans="9:10" s="5" customFormat="1" ht="12.75">
      <c r="I1231" s="4"/>
      <c r="J1231" s="4"/>
    </row>
    <row r="1232" spans="9:10" s="5" customFormat="1" ht="12.75">
      <c r="I1232" s="4"/>
      <c r="J1232" s="4"/>
    </row>
    <row r="1233" spans="9:10" s="5" customFormat="1" ht="12.75">
      <c r="I1233" s="4"/>
      <c r="J1233" s="4"/>
    </row>
    <row r="1234" spans="9:10" s="5" customFormat="1" ht="12.75">
      <c r="I1234" s="4"/>
      <c r="J1234" s="4"/>
    </row>
    <row r="1235" spans="9:10" s="5" customFormat="1" ht="12.75">
      <c r="I1235" s="4"/>
      <c r="J1235" s="4"/>
    </row>
    <row r="1236" spans="9:10" s="5" customFormat="1" ht="12.75">
      <c r="I1236" s="4"/>
      <c r="J1236" s="4"/>
    </row>
    <row r="1237" spans="9:10" s="5" customFormat="1" ht="12.75">
      <c r="I1237" s="4"/>
      <c r="J1237" s="4"/>
    </row>
    <row r="1238" spans="9:10" s="5" customFormat="1" ht="12.75">
      <c r="I1238" s="4"/>
      <c r="J1238" s="4"/>
    </row>
    <row r="1239" spans="9:10" s="5" customFormat="1" ht="12.75">
      <c r="I1239" s="4"/>
      <c r="J1239" s="4"/>
    </row>
    <row r="1240" spans="9:10" s="5" customFormat="1" ht="12.75">
      <c r="I1240" s="4"/>
      <c r="J1240" s="4"/>
    </row>
    <row r="1241" spans="9:10" s="5" customFormat="1" ht="12.75">
      <c r="I1241" s="4"/>
      <c r="J1241" s="4"/>
    </row>
    <row r="1242" spans="9:10" s="5" customFormat="1" ht="12.75">
      <c r="I1242" s="4"/>
      <c r="J1242" s="4"/>
    </row>
    <row r="1243" spans="9:10" s="5" customFormat="1" ht="12.75">
      <c r="I1243" s="4"/>
      <c r="J1243" s="4"/>
    </row>
    <row r="1244" spans="9:10" s="5" customFormat="1" ht="12.75">
      <c r="I1244" s="4"/>
      <c r="J1244" s="4"/>
    </row>
    <row r="1245" spans="9:10" s="5" customFormat="1" ht="12.75">
      <c r="I1245" s="4"/>
      <c r="J1245" s="4"/>
    </row>
    <row r="1246" spans="9:10" s="5" customFormat="1" ht="12.75">
      <c r="I1246" s="4"/>
      <c r="J1246" s="4"/>
    </row>
    <row r="1247" spans="9:10" s="5" customFormat="1" ht="12.75">
      <c r="I1247" s="4"/>
      <c r="J1247" s="4"/>
    </row>
    <row r="1248" spans="9:10" s="5" customFormat="1" ht="12.75">
      <c r="I1248" s="4"/>
      <c r="J1248" s="4"/>
    </row>
    <row r="1249" spans="9:10" s="5" customFormat="1" ht="12.75">
      <c r="I1249" s="4"/>
      <c r="J1249" s="4"/>
    </row>
    <row r="1250" spans="9:10" s="5" customFormat="1" ht="12.75">
      <c r="I1250" s="4"/>
      <c r="J1250" s="4"/>
    </row>
    <row r="1251" spans="9:10" s="5" customFormat="1" ht="12.75">
      <c r="I1251" s="4"/>
      <c r="J1251" s="4"/>
    </row>
    <row r="1252" spans="9:10" s="5" customFormat="1" ht="12.75">
      <c r="I1252" s="4"/>
      <c r="J1252" s="4"/>
    </row>
    <row r="1253" spans="9:10" s="5" customFormat="1" ht="12.75">
      <c r="I1253" s="4"/>
      <c r="J1253" s="4"/>
    </row>
    <row r="1254" spans="9:10" s="5" customFormat="1" ht="12.75">
      <c r="I1254" s="4"/>
      <c r="J1254" s="4"/>
    </row>
    <row r="1255" spans="9:10" s="5" customFormat="1" ht="12.75">
      <c r="I1255" s="4"/>
      <c r="J1255" s="4"/>
    </row>
    <row r="1256" spans="9:10" s="5" customFormat="1" ht="12.75">
      <c r="I1256" s="4"/>
      <c r="J1256" s="4"/>
    </row>
    <row r="1257" spans="9:10" s="5" customFormat="1" ht="12.75">
      <c r="I1257" s="4"/>
      <c r="J1257" s="4"/>
    </row>
    <row r="1258" spans="9:10" s="5" customFormat="1" ht="12.75">
      <c r="I1258" s="4"/>
      <c r="J1258" s="4"/>
    </row>
    <row r="1259" spans="9:10" s="5" customFormat="1" ht="12.75">
      <c r="I1259" s="4"/>
      <c r="J1259" s="4"/>
    </row>
    <row r="1260" spans="9:10" s="5" customFormat="1" ht="12.75">
      <c r="I1260" s="4"/>
      <c r="J1260" s="4"/>
    </row>
    <row r="1261" spans="9:10" s="5" customFormat="1" ht="12.75">
      <c r="I1261" s="4"/>
      <c r="J1261" s="4"/>
    </row>
    <row r="1262" spans="9:10" s="5" customFormat="1" ht="12.75">
      <c r="I1262" s="4"/>
      <c r="J1262" s="4"/>
    </row>
    <row r="1263" spans="9:10" s="5" customFormat="1" ht="12.75">
      <c r="I1263" s="4"/>
      <c r="J1263" s="4"/>
    </row>
    <row r="1264" spans="9:10" s="5" customFormat="1" ht="12.75">
      <c r="I1264" s="4"/>
      <c r="J1264" s="4"/>
    </row>
    <row r="1265" spans="9:10" s="5" customFormat="1" ht="12.75">
      <c r="I1265" s="4"/>
      <c r="J1265" s="4"/>
    </row>
    <row r="1266" spans="9:10" s="5" customFormat="1" ht="12.75">
      <c r="I1266" s="4"/>
      <c r="J1266" s="4"/>
    </row>
    <row r="1267" spans="9:10" s="5" customFormat="1" ht="12.75">
      <c r="I1267" s="4"/>
      <c r="J1267" s="4"/>
    </row>
    <row r="1268" spans="9:10" s="5" customFormat="1" ht="12.75">
      <c r="I1268" s="4"/>
      <c r="J1268" s="4"/>
    </row>
    <row r="1269" spans="9:10" s="5" customFormat="1" ht="12.75">
      <c r="I1269" s="4"/>
      <c r="J1269" s="4"/>
    </row>
    <row r="1270" spans="9:10" s="5" customFormat="1" ht="12.75">
      <c r="I1270" s="4"/>
      <c r="J1270" s="4"/>
    </row>
    <row r="1271" spans="9:10" s="5" customFormat="1" ht="12.75">
      <c r="I1271" s="4"/>
      <c r="J1271" s="4"/>
    </row>
    <row r="1272" spans="9:10" s="5" customFormat="1" ht="12.75">
      <c r="I1272" s="4"/>
      <c r="J1272" s="4"/>
    </row>
    <row r="1273" spans="9:10" s="5" customFormat="1" ht="12.75">
      <c r="I1273" s="4"/>
      <c r="J1273" s="4"/>
    </row>
    <row r="1274" spans="9:10" s="5" customFormat="1" ht="12.75">
      <c r="I1274" s="4"/>
      <c r="J1274" s="4"/>
    </row>
    <row r="1275" spans="9:10" s="5" customFormat="1" ht="12.75">
      <c r="I1275" s="4"/>
      <c r="J1275" s="4"/>
    </row>
    <row r="1276" spans="9:10" s="5" customFormat="1" ht="12.75">
      <c r="I1276" s="4"/>
      <c r="J1276" s="4"/>
    </row>
    <row r="1277" spans="9:10" s="5" customFormat="1" ht="12.75">
      <c r="I1277" s="4"/>
      <c r="J1277" s="4"/>
    </row>
    <row r="1278" spans="9:10" s="5" customFormat="1" ht="12.75">
      <c r="I1278" s="4"/>
      <c r="J1278" s="4"/>
    </row>
    <row r="1279" spans="9:10" s="5" customFormat="1" ht="12.75">
      <c r="I1279" s="4"/>
      <c r="J1279" s="4"/>
    </row>
    <row r="1280" spans="9:10" s="5" customFormat="1" ht="12.75">
      <c r="I1280" s="4"/>
      <c r="J1280" s="4"/>
    </row>
    <row r="1281" spans="9:10" s="5" customFormat="1" ht="12.75">
      <c r="I1281" s="4"/>
      <c r="J1281" s="4"/>
    </row>
    <row r="1282" spans="9:10" s="5" customFormat="1" ht="12.75">
      <c r="I1282" s="4"/>
      <c r="J1282" s="4"/>
    </row>
    <row r="1283" spans="9:10" s="5" customFormat="1" ht="12.75">
      <c r="I1283" s="4"/>
      <c r="J1283" s="4"/>
    </row>
    <row r="1284" spans="9:10" s="5" customFormat="1" ht="12.75">
      <c r="I1284" s="4"/>
      <c r="J1284" s="4"/>
    </row>
    <row r="1285" spans="9:10" s="5" customFormat="1" ht="12.75">
      <c r="I1285" s="4"/>
      <c r="J1285" s="4"/>
    </row>
    <row r="1286" spans="9:10" s="5" customFormat="1" ht="12.75">
      <c r="I1286" s="4"/>
      <c r="J1286" s="4"/>
    </row>
    <row r="1287" spans="9:10" s="5" customFormat="1" ht="12.75">
      <c r="I1287" s="4"/>
      <c r="J1287" s="4"/>
    </row>
    <row r="1288" spans="9:10" s="5" customFormat="1" ht="12.75">
      <c r="I1288" s="4"/>
      <c r="J1288" s="4"/>
    </row>
    <row r="1289" spans="9:10" s="5" customFormat="1" ht="12.75">
      <c r="I1289" s="4"/>
      <c r="J1289" s="4"/>
    </row>
    <row r="1290" spans="9:10" s="5" customFormat="1" ht="12.75">
      <c r="I1290" s="4"/>
      <c r="J1290" s="4"/>
    </row>
    <row r="1291" spans="9:10" s="5" customFormat="1" ht="12.75">
      <c r="I1291" s="4"/>
      <c r="J1291" s="4"/>
    </row>
    <row r="1292" spans="9:10" s="5" customFormat="1" ht="12.75">
      <c r="I1292" s="4"/>
      <c r="J1292" s="4"/>
    </row>
    <row r="1293" spans="9:10" s="5" customFormat="1" ht="12.75">
      <c r="I1293" s="4"/>
      <c r="J1293" s="4"/>
    </row>
    <row r="1294" spans="9:10" s="5" customFormat="1" ht="12.75">
      <c r="I1294" s="4"/>
      <c r="J1294" s="4"/>
    </row>
    <row r="1295" spans="9:10" s="5" customFormat="1" ht="12.75">
      <c r="I1295" s="4"/>
      <c r="J1295" s="4"/>
    </row>
    <row r="1296" spans="9:10" s="5" customFormat="1" ht="12.75">
      <c r="I1296" s="4"/>
      <c r="J1296" s="4"/>
    </row>
    <row r="1297" spans="9:10" s="5" customFormat="1" ht="12.75">
      <c r="I1297" s="4"/>
      <c r="J1297" s="4"/>
    </row>
    <row r="1298" spans="9:10" s="5" customFormat="1" ht="12.75">
      <c r="I1298" s="4"/>
      <c r="J1298" s="4"/>
    </row>
    <row r="1299" spans="9:10" s="5" customFormat="1" ht="12.75">
      <c r="I1299" s="4"/>
      <c r="J1299" s="4"/>
    </row>
    <row r="1300" spans="9:10" s="5" customFormat="1" ht="12.75">
      <c r="I1300" s="4"/>
      <c r="J1300" s="4"/>
    </row>
    <row r="1301" spans="9:10" s="5" customFormat="1" ht="12.75">
      <c r="I1301" s="4"/>
      <c r="J1301" s="4"/>
    </row>
    <row r="1302" spans="9:10" s="5" customFormat="1" ht="12.75">
      <c r="I1302" s="4"/>
      <c r="J1302" s="4"/>
    </row>
    <row r="1303" spans="9:10" s="5" customFormat="1" ht="12.75">
      <c r="I1303" s="4"/>
      <c r="J1303" s="4"/>
    </row>
    <row r="1304" spans="9:10" s="5" customFormat="1" ht="12.75">
      <c r="I1304" s="4"/>
      <c r="J1304" s="4"/>
    </row>
    <row r="1305" spans="9:10" s="5" customFormat="1" ht="12.75">
      <c r="I1305" s="4"/>
      <c r="J1305" s="4"/>
    </row>
    <row r="1306" spans="9:10" s="5" customFormat="1" ht="12.75">
      <c r="I1306" s="4"/>
      <c r="J1306" s="4"/>
    </row>
    <row r="1307" spans="9:10" s="5" customFormat="1" ht="12.75">
      <c r="I1307" s="4"/>
      <c r="J1307" s="4"/>
    </row>
    <row r="1308" spans="9:10" s="5" customFormat="1" ht="12.75">
      <c r="I1308" s="4"/>
      <c r="J1308" s="4"/>
    </row>
    <row r="1309" spans="9:10" s="5" customFormat="1" ht="12.75">
      <c r="I1309" s="4"/>
      <c r="J1309" s="4"/>
    </row>
    <row r="1310" spans="9:10" s="5" customFormat="1" ht="12.75">
      <c r="I1310" s="4"/>
      <c r="J1310" s="4"/>
    </row>
    <row r="1311" spans="9:10" s="5" customFormat="1" ht="12.75">
      <c r="I1311" s="4"/>
      <c r="J1311" s="4"/>
    </row>
    <row r="1312" spans="9:10" s="5" customFormat="1" ht="12.75">
      <c r="I1312" s="4"/>
      <c r="J1312" s="4"/>
    </row>
    <row r="1313" spans="9:10" s="5" customFormat="1" ht="12.75">
      <c r="I1313" s="4"/>
      <c r="J1313" s="4"/>
    </row>
    <row r="1314" spans="9:10" s="5" customFormat="1" ht="12.75">
      <c r="I1314" s="4"/>
      <c r="J1314" s="4"/>
    </row>
    <row r="1315" spans="9:10" s="5" customFormat="1" ht="12.75">
      <c r="I1315" s="4"/>
      <c r="J1315" s="4"/>
    </row>
    <row r="1316" spans="9:10" s="5" customFormat="1" ht="12.75">
      <c r="I1316" s="4"/>
      <c r="J1316" s="4"/>
    </row>
    <row r="1317" spans="9:10" s="5" customFormat="1" ht="12.75">
      <c r="I1317" s="4"/>
      <c r="J1317" s="4"/>
    </row>
    <row r="1318" spans="9:10" s="5" customFormat="1" ht="12.75">
      <c r="I1318" s="4"/>
      <c r="J1318" s="4"/>
    </row>
    <row r="1319" spans="9:10" s="5" customFormat="1" ht="12.75">
      <c r="I1319" s="4"/>
      <c r="J1319" s="4"/>
    </row>
    <row r="1320" spans="9:10" s="5" customFormat="1" ht="12.75">
      <c r="I1320" s="4"/>
      <c r="J1320" s="4"/>
    </row>
    <row r="1321" spans="9:10" s="5" customFormat="1" ht="12.75">
      <c r="I1321" s="4"/>
      <c r="J1321" s="4"/>
    </row>
    <row r="1322" spans="9:10" s="5" customFormat="1" ht="12.75">
      <c r="I1322" s="4"/>
      <c r="J1322" s="4"/>
    </row>
    <row r="1323" spans="9:10" s="5" customFormat="1" ht="12.75">
      <c r="I1323" s="4"/>
      <c r="J1323" s="4"/>
    </row>
    <row r="1324" spans="9:10" s="5" customFormat="1" ht="12.75">
      <c r="I1324" s="4"/>
      <c r="J1324" s="4"/>
    </row>
    <row r="1325" spans="9:10" s="5" customFormat="1" ht="12.75">
      <c r="I1325" s="4"/>
      <c r="J1325" s="4"/>
    </row>
    <row r="1326" spans="9:10" s="5" customFormat="1" ht="12.75">
      <c r="I1326" s="4"/>
      <c r="J1326" s="4"/>
    </row>
    <row r="1327" spans="9:10" s="5" customFormat="1" ht="12.75">
      <c r="I1327" s="4"/>
      <c r="J1327" s="4"/>
    </row>
    <row r="1328" spans="9:10" s="5" customFormat="1" ht="12.75">
      <c r="I1328" s="4"/>
      <c r="J1328" s="4"/>
    </row>
    <row r="1329" spans="9:10" s="5" customFormat="1" ht="12.75">
      <c r="I1329" s="4"/>
      <c r="J1329" s="4"/>
    </row>
    <row r="1330" spans="9:10" s="5" customFormat="1" ht="12.75">
      <c r="I1330" s="4"/>
      <c r="J1330" s="4"/>
    </row>
    <row r="1331" spans="9:10" s="5" customFormat="1" ht="12.75">
      <c r="I1331" s="4"/>
      <c r="J1331" s="4"/>
    </row>
    <row r="1332" spans="9:10" s="5" customFormat="1" ht="12.75">
      <c r="I1332" s="4"/>
      <c r="J1332" s="4"/>
    </row>
    <row r="1333" spans="9:10" s="5" customFormat="1" ht="12.75">
      <c r="I1333" s="4"/>
      <c r="J1333" s="4"/>
    </row>
    <row r="1334" spans="9:10" s="5" customFormat="1" ht="12.75">
      <c r="I1334" s="4"/>
      <c r="J1334" s="4"/>
    </row>
    <row r="1335" spans="9:10" s="5" customFormat="1" ht="12.75">
      <c r="I1335" s="4"/>
      <c r="J1335" s="4"/>
    </row>
    <row r="1336" spans="9:10" s="5" customFormat="1" ht="12.75">
      <c r="I1336" s="4"/>
      <c r="J1336" s="4"/>
    </row>
    <row r="1337" spans="9:10" s="5" customFormat="1" ht="12.75">
      <c r="I1337" s="4"/>
      <c r="J1337" s="4"/>
    </row>
    <row r="1338" spans="9:10" s="5" customFormat="1" ht="12.75">
      <c r="I1338" s="4"/>
      <c r="J1338" s="4"/>
    </row>
    <row r="1339" spans="9:10" s="5" customFormat="1" ht="12.75">
      <c r="I1339" s="4"/>
      <c r="J1339" s="4"/>
    </row>
    <row r="1340" spans="9:10" s="5" customFormat="1" ht="12.75">
      <c r="I1340" s="4"/>
      <c r="J1340" s="4"/>
    </row>
    <row r="1341" spans="9:10" s="5" customFormat="1" ht="12.75">
      <c r="I1341" s="4"/>
      <c r="J1341" s="4"/>
    </row>
    <row r="1342" spans="9:10" s="5" customFormat="1" ht="12.75">
      <c r="I1342" s="4"/>
      <c r="J1342" s="4"/>
    </row>
    <row r="1343" spans="9:10" s="5" customFormat="1" ht="12.75">
      <c r="I1343" s="4"/>
      <c r="J1343" s="4"/>
    </row>
    <row r="1344" spans="9:10" s="5" customFormat="1" ht="12.75">
      <c r="I1344" s="4"/>
      <c r="J1344" s="4"/>
    </row>
    <row r="1345" spans="9:10" s="5" customFormat="1" ht="12.75">
      <c r="I1345" s="4"/>
      <c r="J1345" s="4"/>
    </row>
    <row r="1346" spans="9:10" s="5" customFormat="1" ht="12.75">
      <c r="I1346" s="4"/>
      <c r="J1346" s="4"/>
    </row>
    <row r="1347" spans="9:10" s="5" customFormat="1" ht="12.75">
      <c r="I1347" s="4"/>
      <c r="J1347" s="4"/>
    </row>
    <row r="1348" spans="9:10" s="5" customFormat="1" ht="12.75">
      <c r="I1348" s="4"/>
      <c r="J1348" s="4"/>
    </row>
    <row r="1349" spans="9:10" s="5" customFormat="1" ht="12.75">
      <c r="I1349" s="4"/>
      <c r="J1349" s="4"/>
    </row>
    <row r="1350" spans="9:10" s="5" customFormat="1" ht="12.75">
      <c r="I1350" s="4"/>
      <c r="J1350" s="4"/>
    </row>
    <row r="1351" spans="9:10" s="5" customFormat="1" ht="12.75">
      <c r="I1351" s="4"/>
      <c r="J1351" s="4"/>
    </row>
    <row r="1352" spans="9:10" s="5" customFormat="1" ht="12.75">
      <c r="I1352" s="4"/>
      <c r="J1352" s="4"/>
    </row>
    <row r="1353" spans="9:10" s="5" customFormat="1" ht="12.75">
      <c r="I1353" s="4"/>
      <c r="J1353" s="4"/>
    </row>
    <row r="1354" spans="9:10" s="5" customFormat="1" ht="12.75">
      <c r="I1354" s="4"/>
      <c r="J1354" s="4"/>
    </row>
    <row r="1355" spans="9:10" s="5" customFormat="1" ht="12.75">
      <c r="I1355" s="4"/>
      <c r="J1355" s="4"/>
    </row>
    <row r="1356" spans="9:10" s="5" customFormat="1" ht="12.75">
      <c r="I1356" s="4"/>
      <c r="J1356" s="4"/>
    </row>
    <row r="1357" spans="9:10" s="5" customFormat="1" ht="12.75">
      <c r="I1357" s="4"/>
      <c r="J1357" s="4"/>
    </row>
    <row r="1358" spans="9:10" s="5" customFormat="1" ht="12.75">
      <c r="I1358" s="4"/>
      <c r="J1358" s="4"/>
    </row>
    <row r="1359" spans="9:10" s="5" customFormat="1" ht="12.75">
      <c r="I1359" s="4"/>
      <c r="J1359" s="4"/>
    </row>
    <row r="1360" spans="9:10" s="5" customFormat="1" ht="12.75">
      <c r="I1360" s="4"/>
      <c r="J1360" s="4"/>
    </row>
    <row r="1361" spans="9:10" s="5" customFormat="1" ht="12.75">
      <c r="I1361" s="4"/>
      <c r="J1361" s="4"/>
    </row>
    <row r="1362" spans="9:10" s="5" customFormat="1" ht="12.75">
      <c r="I1362" s="4"/>
      <c r="J1362" s="4"/>
    </row>
    <row r="1363" spans="9:10" s="5" customFormat="1" ht="12.75">
      <c r="I1363" s="4"/>
      <c r="J1363" s="4"/>
    </row>
    <row r="1364" spans="9:10" s="5" customFormat="1" ht="12.75">
      <c r="I1364" s="4"/>
      <c r="J1364" s="4"/>
    </row>
    <row r="1365" spans="9:10" s="5" customFormat="1" ht="12.75">
      <c r="I1365" s="4"/>
      <c r="J1365" s="4"/>
    </row>
    <row r="1366" spans="9:10" s="5" customFormat="1" ht="12.75">
      <c r="I1366" s="4"/>
      <c r="J1366" s="4"/>
    </row>
    <row r="1367" spans="9:10" s="5" customFormat="1" ht="12.75">
      <c r="I1367" s="4"/>
      <c r="J1367" s="4"/>
    </row>
    <row r="1368" spans="9:10" s="5" customFormat="1" ht="12.75">
      <c r="I1368" s="4"/>
      <c r="J1368" s="4"/>
    </row>
    <row r="1369" spans="9:10" s="5" customFormat="1" ht="12.75">
      <c r="I1369" s="4"/>
      <c r="J1369" s="4"/>
    </row>
    <row r="1370" spans="9:10" s="5" customFormat="1" ht="12.75">
      <c r="I1370" s="4"/>
      <c r="J1370" s="4"/>
    </row>
    <row r="1371" spans="9:10" s="5" customFormat="1" ht="12.75">
      <c r="I1371" s="4"/>
      <c r="J1371" s="4"/>
    </row>
    <row r="1372" spans="9:10" s="5" customFormat="1" ht="12.75">
      <c r="I1372" s="4"/>
      <c r="J1372" s="4"/>
    </row>
    <row r="1373" spans="9:10" s="5" customFormat="1" ht="12.75">
      <c r="I1373" s="4"/>
      <c r="J1373" s="4"/>
    </row>
    <row r="1374" spans="9:10" s="5" customFormat="1" ht="12.75">
      <c r="I1374" s="4"/>
      <c r="J1374" s="4"/>
    </row>
    <row r="1375" spans="9:10" s="5" customFormat="1" ht="12.75">
      <c r="I1375" s="4"/>
      <c r="J1375" s="4"/>
    </row>
    <row r="1376" spans="9:10" s="5" customFormat="1" ht="12.75">
      <c r="I1376" s="4"/>
      <c r="J1376" s="4"/>
    </row>
    <row r="1377" spans="9:10" s="5" customFormat="1" ht="12.75">
      <c r="I1377" s="4"/>
      <c r="J1377" s="4"/>
    </row>
    <row r="1378" spans="9:10" s="5" customFormat="1" ht="12.75">
      <c r="I1378" s="4"/>
      <c r="J1378" s="4"/>
    </row>
    <row r="1379" spans="9:10" s="5" customFormat="1" ht="12.75">
      <c r="I1379" s="4"/>
      <c r="J1379" s="4"/>
    </row>
    <row r="1380" spans="9:10" s="5" customFormat="1" ht="12.75">
      <c r="I1380" s="4"/>
      <c r="J1380" s="4"/>
    </row>
    <row r="1381" spans="9:10" s="5" customFormat="1" ht="12.75">
      <c r="I1381" s="4"/>
      <c r="J1381" s="4"/>
    </row>
    <row r="1382" spans="9:10" s="5" customFormat="1" ht="12.75">
      <c r="I1382" s="4"/>
      <c r="J1382" s="4"/>
    </row>
    <row r="1383" spans="9:10" s="5" customFormat="1" ht="12.75">
      <c r="I1383" s="4"/>
      <c r="J1383" s="4"/>
    </row>
    <row r="1384" spans="9:10" s="5" customFormat="1" ht="12.75">
      <c r="I1384" s="4"/>
      <c r="J1384" s="4"/>
    </row>
    <row r="1385" spans="9:10" s="5" customFormat="1" ht="12.75">
      <c r="I1385" s="4"/>
      <c r="J1385" s="4"/>
    </row>
    <row r="1386" spans="9:10" s="5" customFormat="1" ht="12.75">
      <c r="I1386" s="4"/>
      <c r="J1386" s="4"/>
    </row>
    <row r="1387" spans="9:10" s="5" customFormat="1" ht="12.75">
      <c r="I1387" s="4"/>
      <c r="J1387" s="4"/>
    </row>
    <row r="1388" spans="9:10" s="5" customFormat="1" ht="12.75">
      <c r="I1388" s="4"/>
      <c r="J1388" s="4"/>
    </row>
    <row r="1389" spans="9:10" s="5" customFormat="1" ht="12.75">
      <c r="I1389" s="4"/>
      <c r="J1389" s="4"/>
    </row>
    <row r="1390" spans="9:10" s="5" customFormat="1" ht="12.75">
      <c r="I1390" s="4"/>
      <c r="J1390" s="4"/>
    </row>
    <row r="1391" spans="9:10" s="5" customFormat="1" ht="12.75">
      <c r="I1391" s="4"/>
      <c r="J1391" s="4"/>
    </row>
    <row r="1392" spans="9:10" s="5" customFormat="1" ht="12.75">
      <c r="I1392" s="4"/>
      <c r="J1392" s="4"/>
    </row>
    <row r="1393" spans="9:10" s="5" customFormat="1" ht="12.75">
      <c r="I1393" s="4"/>
      <c r="J1393" s="4"/>
    </row>
    <row r="1394" spans="9:10" s="5" customFormat="1" ht="12.75">
      <c r="I1394" s="4"/>
      <c r="J1394" s="4"/>
    </row>
    <row r="1395" spans="9:10" s="5" customFormat="1" ht="12.75">
      <c r="I1395" s="4"/>
      <c r="J1395" s="4"/>
    </row>
    <row r="1396" spans="9:10" s="5" customFormat="1" ht="12.75">
      <c r="I1396" s="4"/>
      <c r="J1396" s="4"/>
    </row>
    <row r="1397" spans="9:10" s="5" customFormat="1" ht="12.75">
      <c r="I1397" s="4"/>
      <c r="J1397" s="4"/>
    </row>
    <row r="1398" spans="9:10" s="5" customFormat="1" ht="12.75">
      <c r="I1398" s="4"/>
      <c r="J1398" s="4"/>
    </row>
    <row r="1399" spans="9:10" s="5" customFormat="1" ht="12.75">
      <c r="I1399" s="4"/>
      <c r="J1399" s="4"/>
    </row>
    <row r="1400" spans="9:10" s="5" customFormat="1" ht="12.75">
      <c r="I1400" s="4"/>
      <c r="J1400" s="4"/>
    </row>
    <row r="1401" spans="9:10" s="5" customFormat="1" ht="12.75">
      <c r="I1401" s="4"/>
      <c r="J1401" s="4"/>
    </row>
    <row r="1402" spans="9:10" s="5" customFormat="1" ht="12.75">
      <c r="I1402" s="4"/>
      <c r="J1402" s="4"/>
    </row>
    <row r="1403" spans="9:10" s="5" customFormat="1" ht="12.75">
      <c r="I1403" s="4"/>
      <c r="J1403" s="4"/>
    </row>
    <row r="1404" spans="9:10" s="5" customFormat="1" ht="12.75">
      <c r="I1404" s="4"/>
      <c r="J1404" s="4"/>
    </row>
    <row r="1405" spans="9:10" s="5" customFormat="1" ht="12.75">
      <c r="I1405" s="4"/>
      <c r="J1405" s="4"/>
    </row>
    <row r="1406" spans="9:10" s="5" customFormat="1" ht="12.75">
      <c r="I1406" s="4"/>
      <c r="J1406" s="4"/>
    </row>
    <row r="1407" spans="9:10" s="5" customFormat="1" ht="12.75">
      <c r="I1407" s="4"/>
      <c r="J1407" s="4"/>
    </row>
    <row r="1408" spans="9:10" s="5" customFormat="1" ht="12.75">
      <c r="I1408" s="4"/>
      <c r="J1408" s="4"/>
    </row>
    <row r="1409" spans="9:10" s="5" customFormat="1" ht="12.75">
      <c r="I1409" s="4"/>
      <c r="J1409" s="4"/>
    </row>
    <row r="1410" spans="9:10" s="5" customFormat="1" ht="12.75">
      <c r="I1410" s="4"/>
      <c r="J1410" s="4"/>
    </row>
    <row r="1411" spans="9:10" s="5" customFormat="1" ht="12.75">
      <c r="I1411" s="4"/>
      <c r="J1411" s="4"/>
    </row>
    <row r="1412" spans="9:10" s="5" customFormat="1" ht="12.75">
      <c r="I1412" s="4"/>
      <c r="J1412" s="4"/>
    </row>
    <row r="1413" spans="9:10" s="5" customFormat="1" ht="12.75">
      <c r="I1413" s="4"/>
      <c r="J1413" s="4"/>
    </row>
    <row r="1414" spans="9:10" s="5" customFormat="1" ht="12.75">
      <c r="I1414" s="4"/>
      <c r="J1414" s="4"/>
    </row>
    <row r="1415" spans="9:10" s="5" customFormat="1" ht="12.75">
      <c r="I1415" s="4"/>
      <c r="J1415" s="4"/>
    </row>
    <row r="1416" spans="9:10" s="5" customFormat="1" ht="12.75">
      <c r="I1416" s="4"/>
      <c r="J1416" s="4"/>
    </row>
    <row r="1417" spans="9:10" s="5" customFormat="1" ht="12.75">
      <c r="I1417" s="4"/>
      <c r="J1417" s="4"/>
    </row>
    <row r="1418" spans="9:10" s="5" customFormat="1" ht="12.75">
      <c r="I1418" s="4"/>
      <c r="J1418" s="4"/>
    </row>
    <row r="1419" spans="9:10" s="5" customFormat="1" ht="12.75">
      <c r="I1419" s="4"/>
      <c r="J1419" s="4"/>
    </row>
    <row r="1420" spans="9:10" s="5" customFormat="1" ht="12.75">
      <c r="I1420" s="4"/>
      <c r="J1420" s="4"/>
    </row>
    <row r="1421" spans="9:10" s="5" customFormat="1" ht="12.75">
      <c r="I1421" s="4"/>
      <c r="J1421" s="4"/>
    </row>
    <row r="1422" spans="9:10" s="5" customFormat="1" ht="12.75">
      <c r="I1422" s="4"/>
      <c r="J1422" s="4"/>
    </row>
    <row r="1423" spans="9:10" s="5" customFormat="1" ht="12.75">
      <c r="I1423" s="4"/>
      <c r="J1423" s="4"/>
    </row>
    <row r="1424" spans="9:10" s="5" customFormat="1" ht="12.75">
      <c r="I1424" s="4"/>
      <c r="J1424" s="4"/>
    </row>
    <row r="1425" spans="9:10" s="5" customFormat="1" ht="12.75">
      <c r="I1425" s="4"/>
      <c r="J1425" s="4"/>
    </row>
    <row r="1426" spans="9:10" s="5" customFormat="1" ht="12.75">
      <c r="I1426" s="4"/>
      <c r="J1426" s="4"/>
    </row>
    <row r="1427" spans="9:10" s="5" customFormat="1" ht="12.75">
      <c r="I1427" s="4"/>
      <c r="J1427" s="4"/>
    </row>
    <row r="1428" spans="9:10" s="5" customFormat="1" ht="12.75">
      <c r="I1428" s="4"/>
      <c r="J1428" s="4"/>
    </row>
    <row r="1429" spans="9:10" s="5" customFormat="1" ht="12.75">
      <c r="I1429" s="4"/>
      <c r="J1429" s="4"/>
    </row>
    <row r="1430" spans="9:10" s="5" customFormat="1" ht="12.75">
      <c r="I1430" s="4"/>
      <c r="J1430" s="4"/>
    </row>
    <row r="1431" spans="9:10" s="5" customFormat="1" ht="12.75">
      <c r="I1431" s="4"/>
      <c r="J1431" s="4"/>
    </row>
    <row r="1432" spans="9:10" s="5" customFormat="1" ht="12.75">
      <c r="I1432" s="4"/>
      <c r="J1432" s="4"/>
    </row>
    <row r="1433" spans="9:10" s="5" customFormat="1" ht="12.75">
      <c r="I1433" s="4"/>
      <c r="J1433" s="4"/>
    </row>
    <row r="1434" spans="9:10" s="5" customFormat="1" ht="12.75">
      <c r="I1434" s="4"/>
      <c r="J1434" s="4"/>
    </row>
    <row r="1435" spans="9:10" s="5" customFormat="1" ht="12.75">
      <c r="I1435" s="4"/>
      <c r="J1435" s="4"/>
    </row>
    <row r="1436" spans="9:10" s="5" customFormat="1" ht="12.75">
      <c r="I1436" s="4"/>
      <c r="J1436" s="4"/>
    </row>
    <row r="1437" spans="9:10" s="5" customFormat="1" ht="12.75">
      <c r="I1437" s="4"/>
      <c r="J1437" s="4"/>
    </row>
    <row r="1438" spans="9:10" s="5" customFormat="1" ht="12.75">
      <c r="I1438" s="4"/>
      <c r="J1438" s="4"/>
    </row>
    <row r="1439" spans="9:10" s="5" customFormat="1" ht="12.75">
      <c r="I1439" s="4"/>
      <c r="J1439" s="4"/>
    </row>
    <row r="1440" spans="9:10" s="5" customFormat="1" ht="12.75">
      <c r="I1440" s="4"/>
      <c r="J1440" s="4"/>
    </row>
    <row r="1441" spans="9:10" s="5" customFormat="1" ht="12.75">
      <c r="I1441" s="4"/>
      <c r="J1441" s="4"/>
    </row>
    <row r="1442" spans="9:10" s="5" customFormat="1" ht="12.75">
      <c r="I1442" s="4"/>
      <c r="J1442" s="4"/>
    </row>
    <row r="1443" spans="9:10" s="5" customFormat="1" ht="12.75">
      <c r="I1443" s="4"/>
      <c r="J1443" s="4"/>
    </row>
    <row r="1444" spans="9:10" s="5" customFormat="1" ht="12.75">
      <c r="I1444" s="4"/>
      <c r="J1444" s="4"/>
    </row>
    <row r="1445" spans="9:10" s="5" customFormat="1" ht="12.75">
      <c r="I1445" s="4"/>
      <c r="J1445" s="4"/>
    </row>
    <row r="1446" spans="9:10" s="5" customFormat="1" ht="12.75">
      <c r="I1446" s="4"/>
      <c r="J1446" s="4"/>
    </row>
    <row r="1447" spans="9:10" s="5" customFormat="1" ht="12.75">
      <c r="I1447" s="4"/>
      <c r="J1447" s="4"/>
    </row>
    <row r="1448" spans="9:10" s="5" customFormat="1" ht="12.75">
      <c r="I1448" s="4"/>
      <c r="J1448" s="4"/>
    </row>
    <row r="1449" spans="9:10" s="5" customFormat="1" ht="12.75">
      <c r="I1449" s="4"/>
      <c r="J1449" s="4"/>
    </row>
    <row r="1450" spans="9:10" s="5" customFormat="1" ht="12.75">
      <c r="I1450" s="4"/>
      <c r="J1450" s="4"/>
    </row>
    <row r="1451" spans="9:10" s="5" customFormat="1" ht="12.75">
      <c r="I1451" s="4"/>
      <c r="J1451" s="4"/>
    </row>
    <row r="1452" spans="9:10" s="5" customFormat="1" ht="12.75">
      <c r="I1452" s="4"/>
      <c r="J1452" s="4"/>
    </row>
    <row r="1453" spans="9:10" s="5" customFormat="1" ht="12.75">
      <c r="I1453" s="4"/>
      <c r="J1453" s="4"/>
    </row>
    <row r="1454" spans="9:10" s="5" customFormat="1" ht="12.75">
      <c r="I1454" s="4"/>
      <c r="J1454" s="4"/>
    </row>
    <row r="1455" spans="9:10" s="5" customFormat="1" ht="12.75">
      <c r="I1455" s="4"/>
      <c r="J1455" s="4"/>
    </row>
    <row r="1456" spans="9:10" s="5" customFormat="1" ht="12.75">
      <c r="I1456" s="4"/>
      <c r="J1456" s="4"/>
    </row>
    <row r="1457" spans="9:10" s="5" customFormat="1" ht="12.75">
      <c r="I1457" s="4"/>
      <c r="J1457" s="4"/>
    </row>
    <row r="1458" spans="9:10" s="5" customFormat="1" ht="12.75">
      <c r="I1458" s="4"/>
      <c r="J1458" s="4"/>
    </row>
    <row r="1459" spans="9:10" s="5" customFormat="1" ht="12.75">
      <c r="I1459" s="4"/>
      <c r="J1459" s="4"/>
    </row>
    <row r="1460" spans="9:10" s="5" customFormat="1" ht="12.75">
      <c r="I1460" s="4"/>
      <c r="J1460" s="4"/>
    </row>
    <row r="1461" spans="9:10" s="5" customFormat="1" ht="12.75">
      <c r="I1461" s="4"/>
      <c r="J1461" s="4"/>
    </row>
    <row r="1462" spans="9:10" s="5" customFormat="1" ht="12.75">
      <c r="I1462" s="4"/>
      <c r="J1462" s="4"/>
    </row>
    <row r="1463" spans="9:10" s="5" customFormat="1" ht="12.75">
      <c r="I1463" s="4"/>
      <c r="J1463" s="4"/>
    </row>
    <row r="1464" spans="9:10" s="5" customFormat="1" ht="12.75">
      <c r="I1464" s="4"/>
      <c r="J1464" s="4"/>
    </row>
    <row r="1465" spans="9:10" s="5" customFormat="1" ht="12.75">
      <c r="I1465" s="4"/>
      <c r="J1465" s="4"/>
    </row>
    <row r="1466" spans="9:10" s="5" customFormat="1" ht="12.75">
      <c r="I1466" s="4"/>
      <c r="J1466" s="4"/>
    </row>
    <row r="1467" spans="9:10" s="5" customFormat="1" ht="12.75">
      <c r="I1467" s="4"/>
      <c r="J1467" s="4"/>
    </row>
    <row r="1468" spans="9:10" s="5" customFormat="1" ht="12.75">
      <c r="I1468" s="4"/>
      <c r="J1468" s="4"/>
    </row>
    <row r="1469" spans="9:10" s="5" customFormat="1" ht="12.75">
      <c r="I1469" s="4"/>
      <c r="J1469" s="4"/>
    </row>
    <row r="1470" spans="9:10" s="5" customFormat="1" ht="12.75">
      <c r="I1470" s="4"/>
      <c r="J1470" s="4"/>
    </row>
    <row r="1471" spans="9:10" s="5" customFormat="1" ht="12.75">
      <c r="I1471" s="4"/>
      <c r="J1471" s="4"/>
    </row>
    <row r="1472" spans="9:10" s="5" customFormat="1" ht="12.75">
      <c r="I1472" s="4"/>
      <c r="J1472" s="4"/>
    </row>
    <row r="1473" spans="9:10" s="5" customFormat="1" ht="12.75">
      <c r="I1473" s="4"/>
      <c r="J1473" s="4"/>
    </row>
    <row r="1474" spans="9:10" s="5" customFormat="1" ht="12.75">
      <c r="I1474" s="4"/>
      <c r="J1474" s="4"/>
    </row>
    <row r="1475" spans="9:10" s="5" customFormat="1" ht="12.75">
      <c r="I1475" s="4"/>
      <c r="J1475" s="4"/>
    </row>
    <row r="1476" spans="9:10" s="5" customFormat="1" ht="12.75">
      <c r="I1476" s="4"/>
      <c r="J1476" s="4"/>
    </row>
    <row r="1477" spans="9:10" s="5" customFormat="1" ht="12.75">
      <c r="I1477" s="4"/>
      <c r="J1477" s="4"/>
    </row>
    <row r="1478" spans="9:10" s="5" customFormat="1" ht="12.75">
      <c r="I1478" s="4"/>
      <c r="J1478" s="4"/>
    </row>
    <row r="1479" spans="9:10" s="5" customFormat="1" ht="12.75">
      <c r="I1479" s="4"/>
      <c r="J1479" s="4"/>
    </row>
    <row r="1480" spans="9:10" s="5" customFormat="1" ht="12.75">
      <c r="I1480" s="4"/>
      <c r="J1480" s="4"/>
    </row>
    <row r="1481" spans="9:10" s="5" customFormat="1" ht="12.75">
      <c r="I1481" s="4"/>
      <c r="J1481" s="4"/>
    </row>
    <row r="1482" spans="9:10" s="5" customFormat="1" ht="12.75">
      <c r="I1482" s="4"/>
      <c r="J1482" s="4"/>
    </row>
    <row r="1483" spans="9:10" s="5" customFormat="1" ht="12.75">
      <c r="I1483" s="4"/>
      <c r="J1483" s="4"/>
    </row>
    <row r="1484" spans="9:10" s="5" customFormat="1" ht="12.75">
      <c r="I1484" s="4"/>
      <c r="J1484" s="4"/>
    </row>
    <row r="1485" spans="9:10" s="5" customFormat="1" ht="12.75">
      <c r="I1485" s="4"/>
      <c r="J1485" s="4"/>
    </row>
    <row r="1486" spans="9:10" s="5" customFormat="1" ht="12.75">
      <c r="I1486" s="4"/>
      <c r="J1486" s="4"/>
    </row>
    <row r="1487" spans="9:10" s="5" customFormat="1" ht="12.75">
      <c r="I1487" s="4"/>
      <c r="J1487" s="4"/>
    </row>
    <row r="1488" spans="9:10" s="5" customFormat="1" ht="12.75">
      <c r="I1488" s="4"/>
      <c r="J1488" s="4"/>
    </row>
    <row r="1489" spans="9:10" s="5" customFormat="1" ht="12.75">
      <c r="I1489" s="4"/>
      <c r="J1489" s="4"/>
    </row>
    <row r="1490" spans="9:10" s="5" customFormat="1" ht="12.75">
      <c r="I1490" s="4"/>
      <c r="J1490" s="4"/>
    </row>
    <row r="1491" spans="9:10" s="5" customFormat="1" ht="12.75">
      <c r="I1491" s="4"/>
      <c r="J1491" s="4"/>
    </row>
    <row r="1492" spans="9:10" s="5" customFormat="1" ht="12.75">
      <c r="I1492" s="4"/>
      <c r="J1492" s="4"/>
    </row>
    <row r="1493" spans="9:10" s="5" customFormat="1" ht="12.75">
      <c r="I1493" s="4"/>
      <c r="J1493" s="4"/>
    </row>
    <row r="1494" spans="9:10" s="5" customFormat="1" ht="12.75">
      <c r="I1494" s="4"/>
      <c r="J1494" s="4"/>
    </row>
    <row r="1495" spans="9:10" s="5" customFormat="1" ht="12.75">
      <c r="I1495" s="4"/>
      <c r="J1495" s="4"/>
    </row>
    <row r="1496" spans="9:10" s="5" customFormat="1" ht="12.75">
      <c r="I1496" s="4"/>
      <c r="J1496" s="4"/>
    </row>
    <row r="1497" spans="9:10" s="5" customFormat="1" ht="12.75">
      <c r="I1497" s="4"/>
      <c r="J1497" s="4"/>
    </row>
    <row r="1498" spans="9:10" s="5" customFormat="1" ht="12.75">
      <c r="I1498" s="4"/>
      <c r="J1498" s="4"/>
    </row>
    <row r="1499" spans="9:10" s="5" customFormat="1" ht="12.75">
      <c r="I1499" s="4"/>
      <c r="J1499" s="4"/>
    </row>
    <row r="1500" spans="9:10" s="5" customFormat="1" ht="12.75">
      <c r="I1500" s="4"/>
      <c r="J1500" s="4"/>
    </row>
    <row r="1501" spans="9:10" s="5" customFormat="1" ht="12.75">
      <c r="I1501" s="4"/>
      <c r="J1501" s="4"/>
    </row>
    <row r="1502" spans="9:10" s="5" customFormat="1" ht="12.75">
      <c r="I1502" s="4"/>
      <c r="J1502" s="4"/>
    </row>
    <row r="1503" spans="9:10" s="5" customFormat="1" ht="12.75">
      <c r="I1503" s="4"/>
      <c r="J1503" s="4"/>
    </row>
    <row r="1504" spans="9:10" s="5" customFormat="1" ht="12.75">
      <c r="I1504" s="4"/>
      <c r="J1504" s="4"/>
    </row>
    <row r="1505" spans="9:10" s="5" customFormat="1" ht="12.75">
      <c r="I1505" s="4"/>
      <c r="J1505" s="4"/>
    </row>
    <row r="1506" spans="9:10" s="5" customFormat="1" ht="12.75">
      <c r="I1506" s="4"/>
      <c r="J1506" s="4"/>
    </row>
    <row r="1507" spans="9:10" s="5" customFormat="1" ht="12.75">
      <c r="I1507" s="4"/>
      <c r="J1507" s="4"/>
    </row>
    <row r="1508" spans="9:10" s="5" customFormat="1" ht="12.75">
      <c r="I1508" s="4"/>
      <c r="J1508" s="4"/>
    </row>
    <row r="1509" spans="9:10" s="5" customFormat="1" ht="12.75">
      <c r="I1509" s="4"/>
      <c r="J1509" s="4"/>
    </row>
    <row r="1510" spans="9:10" s="5" customFormat="1" ht="12.75">
      <c r="I1510" s="4"/>
      <c r="J1510" s="4"/>
    </row>
    <row r="1511" spans="9:10" s="5" customFormat="1" ht="12.75">
      <c r="I1511" s="4"/>
      <c r="J1511" s="4"/>
    </row>
    <row r="1512" spans="9:10" s="5" customFormat="1" ht="12.75">
      <c r="I1512" s="4"/>
      <c r="J1512" s="4"/>
    </row>
    <row r="1513" spans="9:10" s="5" customFormat="1" ht="12.75">
      <c r="I1513" s="4"/>
      <c r="J1513" s="4"/>
    </row>
    <row r="1514" spans="9:10" s="5" customFormat="1" ht="12.75">
      <c r="I1514" s="4"/>
      <c r="J1514" s="4"/>
    </row>
    <row r="1515" spans="9:10" s="5" customFormat="1" ht="12.75">
      <c r="I1515" s="4"/>
      <c r="J1515" s="4"/>
    </row>
    <row r="1516" spans="9:10" s="5" customFormat="1" ht="12.75">
      <c r="I1516" s="4"/>
      <c r="J1516" s="4"/>
    </row>
    <row r="1517" spans="9:10" s="5" customFormat="1" ht="12.75">
      <c r="I1517" s="4"/>
      <c r="J1517" s="4"/>
    </row>
    <row r="1518" spans="9:10" s="5" customFormat="1" ht="12.75">
      <c r="I1518" s="4"/>
      <c r="J1518" s="4"/>
    </row>
    <row r="1519" spans="9:10" s="5" customFormat="1" ht="12.75">
      <c r="I1519" s="4"/>
      <c r="J1519" s="4"/>
    </row>
    <row r="1520" spans="9:10" s="5" customFormat="1" ht="12.75">
      <c r="I1520" s="4"/>
      <c r="J1520" s="4"/>
    </row>
    <row r="1521" spans="9:10" s="5" customFormat="1" ht="12.75">
      <c r="I1521" s="4"/>
      <c r="J1521" s="4"/>
    </row>
    <row r="1522" spans="9:10" s="5" customFormat="1" ht="12.75">
      <c r="I1522" s="4"/>
      <c r="J1522" s="4"/>
    </row>
    <row r="1523" spans="9:10" s="5" customFormat="1" ht="12.75">
      <c r="I1523" s="4"/>
      <c r="J1523" s="4"/>
    </row>
    <row r="1524" spans="9:10" s="5" customFormat="1" ht="12.75">
      <c r="I1524" s="4"/>
      <c r="J1524" s="4"/>
    </row>
    <row r="1525" spans="9:10" s="5" customFormat="1" ht="12.75">
      <c r="I1525" s="4"/>
      <c r="J1525" s="4"/>
    </row>
    <row r="1526" spans="9:10" s="5" customFormat="1" ht="12.75">
      <c r="I1526" s="4"/>
      <c r="J1526" s="4"/>
    </row>
    <row r="1527" spans="9:10" s="5" customFormat="1" ht="12.75">
      <c r="I1527" s="4"/>
      <c r="J1527" s="4"/>
    </row>
    <row r="1528" spans="9:10" s="5" customFormat="1" ht="12.75">
      <c r="I1528" s="4"/>
      <c r="J1528" s="4"/>
    </row>
    <row r="1529" spans="9:10" s="5" customFormat="1" ht="12.75">
      <c r="I1529" s="4"/>
      <c r="J1529" s="4"/>
    </row>
    <row r="1530" spans="9:10" s="5" customFormat="1" ht="12.75">
      <c r="I1530" s="4"/>
      <c r="J1530" s="4"/>
    </row>
    <row r="1531" spans="9:10" s="5" customFormat="1" ht="12.75">
      <c r="I1531" s="4"/>
      <c r="J1531" s="4"/>
    </row>
    <row r="1532" spans="9:10" s="5" customFormat="1" ht="12.75">
      <c r="I1532" s="4"/>
      <c r="J1532" s="4"/>
    </row>
    <row r="1533" spans="9:10" s="5" customFormat="1" ht="12.75">
      <c r="I1533" s="4"/>
      <c r="J1533" s="4"/>
    </row>
    <row r="1534" spans="9:10" s="5" customFormat="1" ht="12.75">
      <c r="I1534" s="4"/>
      <c r="J1534" s="4"/>
    </row>
    <row r="1535" spans="9:10" s="5" customFormat="1" ht="12.75">
      <c r="I1535" s="4"/>
      <c r="J1535" s="4"/>
    </row>
    <row r="1536" spans="9:10" s="5" customFormat="1" ht="12.75">
      <c r="I1536" s="4"/>
      <c r="J1536" s="4"/>
    </row>
    <row r="1537" spans="9:10" s="5" customFormat="1" ht="12.75">
      <c r="I1537" s="4"/>
      <c r="J1537" s="4"/>
    </row>
    <row r="1538" spans="9:10" s="5" customFormat="1" ht="12.75">
      <c r="I1538" s="4"/>
      <c r="J1538" s="4"/>
    </row>
    <row r="1539" spans="9:10" s="5" customFormat="1" ht="12.75">
      <c r="I1539" s="4"/>
      <c r="J1539" s="4"/>
    </row>
    <row r="1540" spans="9:10" s="5" customFormat="1" ht="12.75">
      <c r="I1540" s="4"/>
      <c r="J1540" s="4"/>
    </row>
    <row r="1541" spans="9:10" s="5" customFormat="1" ht="12.75">
      <c r="I1541" s="4"/>
      <c r="J1541" s="4"/>
    </row>
    <row r="1542" spans="9:10" s="5" customFormat="1" ht="12.75">
      <c r="I1542" s="4"/>
      <c r="J1542" s="4"/>
    </row>
    <row r="1543" spans="9:10" s="5" customFormat="1" ht="12.75">
      <c r="I1543" s="4"/>
      <c r="J1543" s="4"/>
    </row>
    <row r="1544" spans="9:10" s="5" customFormat="1" ht="12.75">
      <c r="I1544" s="4"/>
      <c r="J1544" s="4"/>
    </row>
    <row r="1545" spans="9:10" s="5" customFormat="1" ht="12.75">
      <c r="I1545" s="4"/>
      <c r="J1545" s="4"/>
    </row>
    <row r="1546" spans="9:10" s="5" customFormat="1" ht="12.75">
      <c r="I1546" s="4"/>
      <c r="J1546" s="4"/>
    </row>
    <row r="1547" spans="9:10" s="5" customFormat="1" ht="12.75">
      <c r="I1547" s="4"/>
      <c r="J1547" s="4"/>
    </row>
    <row r="1548" spans="9:10" s="5" customFormat="1" ht="12.75">
      <c r="I1548" s="4"/>
      <c r="J1548" s="4"/>
    </row>
    <row r="1549" spans="9:10" s="5" customFormat="1" ht="12.75">
      <c r="I1549" s="4"/>
      <c r="J1549" s="4"/>
    </row>
    <row r="1550" spans="9:10" s="5" customFormat="1" ht="12.75">
      <c r="I1550" s="4"/>
      <c r="J1550" s="4"/>
    </row>
    <row r="1551" spans="9:10" s="5" customFormat="1" ht="12.75">
      <c r="I1551" s="4"/>
      <c r="J1551" s="4"/>
    </row>
    <row r="1552" spans="9:10" s="5" customFormat="1" ht="12.75">
      <c r="I1552" s="4"/>
      <c r="J1552" s="4"/>
    </row>
    <row r="1553" spans="9:10" s="5" customFormat="1" ht="12.75">
      <c r="I1553" s="4"/>
      <c r="J1553" s="4"/>
    </row>
    <row r="1554" spans="9:10" s="5" customFormat="1" ht="12.75">
      <c r="I1554" s="4"/>
      <c r="J1554" s="4"/>
    </row>
    <row r="1555" spans="9:10" s="5" customFormat="1" ht="12.75">
      <c r="I1555" s="4"/>
      <c r="J1555" s="4"/>
    </row>
    <row r="1556" spans="9:10" s="5" customFormat="1" ht="12.75">
      <c r="I1556" s="4"/>
      <c r="J1556" s="4"/>
    </row>
    <row r="1557" spans="9:10" s="5" customFormat="1" ht="12.75">
      <c r="I1557" s="4"/>
      <c r="J1557" s="4"/>
    </row>
    <row r="1558" spans="9:10" s="5" customFormat="1" ht="12.75">
      <c r="I1558" s="4"/>
      <c r="J1558" s="4"/>
    </row>
    <row r="1559" spans="9:10" s="5" customFormat="1" ht="12.75">
      <c r="I1559" s="4"/>
      <c r="J1559" s="4"/>
    </row>
    <row r="1560" spans="9:10" s="5" customFormat="1" ht="12.75">
      <c r="I1560" s="4"/>
      <c r="J1560" s="4"/>
    </row>
    <row r="1561" spans="9:10" s="5" customFormat="1" ht="12.75">
      <c r="I1561" s="4"/>
      <c r="J1561" s="4"/>
    </row>
    <row r="1562" spans="9:10" s="5" customFormat="1" ht="12.75">
      <c r="I1562" s="4"/>
      <c r="J1562" s="4"/>
    </row>
    <row r="1563" spans="9:10" s="5" customFormat="1" ht="12.75">
      <c r="I1563" s="4"/>
      <c r="J1563" s="4"/>
    </row>
    <row r="1564" spans="9:10" s="5" customFormat="1" ht="12.75">
      <c r="I1564" s="4"/>
      <c r="J1564" s="4"/>
    </row>
    <row r="1565" spans="9:10" s="5" customFormat="1" ht="12.75">
      <c r="I1565" s="4"/>
      <c r="J1565" s="4"/>
    </row>
    <row r="1566" spans="9:10" s="5" customFormat="1" ht="12.75">
      <c r="I1566" s="4"/>
      <c r="J1566" s="4"/>
    </row>
    <row r="1567" spans="9:10" s="5" customFormat="1" ht="12.75">
      <c r="I1567" s="4"/>
      <c r="J1567" s="4"/>
    </row>
    <row r="1568" spans="9:10" s="5" customFormat="1" ht="12.75">
      <c r="I1568" s="4"/>
      <c r="J1568" s="4"/>
    </row>
    <row r="1569" spans="9:10" s="5" customFormat="1" ht="12.75">
      <c r="I1569" s="4"/>
      <c r="J1569" s="4"/>
    </row>
    <row r="1570" spans="9:10" s="5" customFormat="1" ht="12.75">
      <c r="I1570" s="4"/>
      <c r="J1570" s="4"/>
    </row>
    <row r="1571" spans="9:10" s="5" customFormat="1" ht="12.75">
      <c r="I1571" s="4"/>
      <c r="J1571" s="4"/>
    </row>
    <row r="1572" spans="9:10" s="5" customFormat="1" ht="12.75">
      <c r="I1572" s="4"/>
      <c r="J1572" s="4"/>
    </row>
    <row r="1573" spans="9:10" s="5" customFormat="1" ht="12.75">
      <c r="I1573" s="4"/>
      <c r="J1573" s="4"/>
    </row>
    <row r="1574" spans="9:10" s="5" customFormat="1" ht="12.75">
      <c r="I1574" s="4"/>
      <c r="J1574" s="4"/>
    </row>
    <row r="1575" spans="9:10" s="5" customFormat="1" ht="12.75">
      <c r="I1575" s="4"/>
      <c r="J1575" s="4"/>
    </row>
    <row r="1576" spans="9:10" s="5" customFormat="1" ht="12.75">
      <c r="I1576" s="4"/>
      <c r="J1576" s="4"/>
    </row>
    <row r="1577" spans="9:10" s="5" customFormat="1" ht="12.75">
      <c r="I1577" s="4"/>
      <c r="J1577" s="4"/>
    </row>
    <row r="1578" spans="9:10" s="5" customFormat="1" ht="12.75">
      <c r="I1578" s="4"/>
      <c r="J1578" s="4"/>
    </row>
    <row r="1579" spans="9:10" s="5" customFormat="1" ht="12.75">
      <c r="I1579" s="4"/>
      <c r="J1579" s="4"/>
    </row>
    <row r="1580" spans="9:10" s="5" customFormat="1" ht="12.75">
      <c r="I1580" s="4"/>
      <c r="J1580" s="4"/>
    </row>
    <row r="1581" spans="9:10" s="5" customFormat="1" ht="12.75">
      <c r="I1581" s="4"/>
      <c r="J1581" s="4"/>
    </row>
    <row r="1582" spans="9:10" s="5" customFormat="1" ht="12.75">
      <c r="I1582" s="4"/>
      <c r="J1582" s="4"/>
    </row>
    <row r="1583" spans="9:10" s="5" customFormat="1" ht="12.75">
      <c r="I1583" s="4"/>
      <c r="J1583" s="4"/>
    </row>
    <row r="1584" spans="9:10" s="5" customFormat="1" ht="12.75">
      <c r="I1584" s="4"/>
      <c r="J1584" s="4"/>
    </row>
    <row r="1585" spans="9:10" s="5" customFormat="1" ht="12.75">
      <c r="I1585" s="4"/>
      <c r="J1585" s="4"/>
    </row>
    <row r="1586" spans="9:10" s="5" customFormat="1" ht="12.75">
      <c r="I1586" s="4"/>
      <c r="J1586" s="4"/>
    </row>
    <row r="1587" spans="9:10" s="5" customFormat="1" ht="12.75">
      <c r="I1587" s="4"/>
      <c r="J1587" s="4"/>
    </row>
    <row r="1588" spans="9:10" s="5" customFormat="1" ht="12.75">
      <c r="I1588" s="4"/>
      <c r="J1588" s="4"/>
    </row>
    <row r="1589" spans="9:10" s="5" customFormat="1" ht="12.75">
      <c r="I1589" s="4"/>
      <c r="J1589" s="4"/>
    </row>
    <row r="1590" spans="9:10" s="5" customFormat="1" ht="12.75">
      <c r="I1590" s="4"/>
      <c r="J1590" s="4"/>
    </row>
    <row r="1591" spans="9:10" s="5" customFormat="1" ht="12.75">
      <c r="I1591" s="4"/>
      <c r="J1591" s="4"/>
    </row>
    <row r="1592" spans="9:10" s="5" customFormat="1" ht="12.75">
      <c r="I1592" s="4"/>
      <c r="J1592" s="4"/>
    </row>
    <row r="1593" spans="9:10" s="5" customFormat="1" ht="12.75">
      <c r="I1593" s="4"/>
      <c r="J1593" s="4"/>
    </row>
    <row r="1594" spans="9:10" s="5" customFormat="1" ht="12.75">
      <c r="I1594" s="4"/>
      <c r="J1594" s="4"/>
    </row>
    <row r="1595" spans="9:10" s="5" customFormat="1" ht="12.75">
      <c r="I1595" s="4"/>
      <c r="J1595" s="4"/>
    </row>
    <row r="1596" spans="9:10" s="5" customFormat="1" ht="12.75">
      <c r="I1596" s="4"/>
      <c r="J1596" s="4"/>
    </row>
    <row r="1597" spans="9:10" s="5" customFormat="1" ht="12.75">
      <c r="I1597" s="4"/>
      <c r="J1597" s="4"/>
    </row>
    <row r="1598" spans="9:10" s="5" customFormat="1" ht="12.75">
      <c r="I1598" s="4"/>
      <c r="J1598" s="4"/>
    </row>
    <row r="1599" spans="9:10" s="5" customFormat="1" ht="12.75">
      <c r="I1599" s="4"/>
      <c r="J1599" s="4"/>
    </row>
    <row r="1600" spans="9:10" s="5" customFormat="1" ht="12.75">
      <c r="I1600" s="4"/>
      <c r="J1600" s="4"/>
    </row>
    <row r="1601" spans="9:10" s="5" customFormat="1" ht="12.75">
      <c r="I1601" s="4"/>
      <c r="J1601" s="4"/>
    </row>
    <row r="1602" spans="9:10" s="5" customFormat="1" ht="12.75">
      <c r="I1602" s="4"/>
      <c r="J1602" s="4"/>
    </row>
    <row r="1603" spans="9:10" s="5" customFormat="1" ht="12.75">
      <c r="I1603" s="4"/>
      <c r="J1603" s="4"/>
    </row>
    <row r="1604" spans="9:10" s="5" customFormat="1" ht="12.75">
      <c r="I1604" s="4"/>
      <c r="J1604" s="4"/>
    </row>
    <row r="1605" spans="9:10" s="5" customFormat="1" ht="12.75">
      <c r="I1605" s="4"/>
      <c r="J1605" s="4"/>
    </row>
    <row r="1606" spans="9:10" s="5" customFormat="1" ht="12.75">
      <c r="I1606" s="4"/>
      <c r="J1606" s="4"/>
    </row>
    <row r="1607" spans="9:10" s="5" customFormat="1" ht="12.75">
      <c r="I1607" s="4"/>
      <c r="J1607" s="4"/>
    </row>
    <row r="1608" spans="9:10" s="5" customFormat="1" ht="12.75">
      <c r="I1608" s="4"/>
      <c r="J1608" s="4"/>
    </row>
    <row r="1609" spans="9:10" s="5" customFormat="1" ht="12.75">
      <c r="I1609" s="4"/>
      <c r="J1609" s="4"/>
    </row>
    <row r="1610" spans="9:10" s="5" customFormat="1" ht="12.75">
      <c r="I1610" s="4"/>
      <c r="J1610" s="4"/>
    </row>
    <row r="1611" spans="9:10" s="5" customFormat="1" ht="12.75">
      <c r="I1611" s="4"/>
      <c r="J1611" s="4"/>
    </row>
    <row r="1612" spans="9:10" s="5" customFormat="1" ht="12.75">
      <c r="I1612" s="4"/>
      <c r="J1612" s="4"/>
    </row>
    <row r="1613" spans="9:10" s="5" customFormat="1" ht="12.75">
      <c r="I1613" s="4"/>
      <c r="J1613" s="4"/>
    </row>
    <row r="1614" spans="9:10" s="5" customFormat="1" ht="12.75">
      <c r="I1614" s="4"/>
      <c r="J1614" s="4"/>
    </row>
    <row r="1615" spans="9:10" s="5" customFormat="1" ht="12.75">
      <c r="I1615" s="4"/>
      <c r="J1615" s="4"/>
    </row>
    <row r="1616" spans="9:10" s="5" customFormat="1" ht="12.75">
      <c r="I1616" s="4"/>
      <c r="J1616" s="4"/>
    </row>
    <row r="1617" spans="9:10" s="5" customFormat="1" ht="12.75">
      <c r="I1617" s="4"/>
      <c r="J1617" s="4"/>
    </row>
    <row r="1618" spans="9:10" s="5" customFormat="1" ht="12.75">
      <c r="I1618" s="4"/>
      <c r="J1618" s="4"/>
    </row>
    <row r="1619" spans="9:10" s="5" customFormat="1" ht="12.75">
      <c r="I1619" s="4"/>
      <c r="J1619" s="4"/>
    </row>
    <row r="1620" spans="9:10" s="5" customFormat="1" ht="12.75">
      <c r="I1620" s="4"/>
      <c r="J1620" s="4"/>
    </row>
    <row r="1621" spans="9:10" s="5" customFormat="1" ht="12.75">
      <c r="I1621" s="4"/>
      <c r="J1621" s="4"/>
    </row>
    <row r="1622" spans="9:10" s="5" customFormat="1" ht="12.75">
      <c r="I1622" s="4"/>
      <c r="J1622" s="4"/>
    </row>
    <row r="1623" spans="9:10" s="5" customFormat="1" ht="12.75">
      <c r="I1623" s="4"/>
      <c r="J1623" s="4"/>
    </row>
    <row r="1624" spans="9:10" s="5" customFormat="1" ht="12.75">
      <c r="I1624" s="4"/>
      <c r="J1624" s="4"/>
    </row>
    <row r="1625" spans="9:10" s="5" customFormat="1" ht="12.75">
      <c r="I1625" s="4"/>
      <c r="J1625" s="4"/>
    </row>
    <row r="1626" spans="9:10" s="5" customFormat="1" ht="12.75">
      <c r="I1626" s="4"/>
      <c r="J1626" s="4"/>
    </row>
    <row r="1627" spans="9:10" s="5" customFormat="1" ht="12.75">
      <c r="I1627" s="4"/>
      <c r="J1627" s="4"/>
    </row>
    <row r="1628" spans="9:10" s="5" customFormat="1" ht="12.75">
      <c r="I1628" s="4"/>
      <c r="J1628" s="4"/>
    </row>
    <row r="1629" spans="9:10" s="5" customFormat="1" ht="12.75">
      <c r="I1629" s="4"/>
      <c r="J1629" s="4"/>
    </row>
    <row r="1630" spans="9:10" s="5" customFormat="1" ht="12.75">
      <c r="I1630" s="4"/>
      <c r="J1630" s="4"/>
    </row>
    <row r="1631" spans="9:10" s="5" customFormat="1" ht="12.75">
      <c r="I1631" s="4"/>
      <c r="J1631" s="4"/>
    </row>
    <row r="1632" spans="9:10" s="5" customFormat="1" ht="12.75">
      <c r="I1632" s="4"/>
      <c r="J1632" s="4"/>
    </row>
    <row r="1633" spans="9:10" s="5" customFormat="1" ht="12.75">
      <c r="I1633" s="4"/>
      <c r="J1633" s="4"/>
    </row>
    <row r="1634" spans="9:10" s="5" customFormat="1" ht="12.75">
      <c r="I1634" s="4"/>
      <c r="J1634" s="4"/>
    </row>
    <row r="1635" spans="9:10" s="5" customFormat="1" ht="12.75">
      <c r="I1635" s="4"/>
      <c r="J1635" s="4"/>
    </row>
    <row r="1636" spans="9:10" s="5" customFormat="1" ht="12.75">
      <c r="I1636" s="4"/>
      <c r="J1636" s="4"/>
    </row>
    <row r="1637" spans="9:10" s="5" customFormat="1" ht="12.75">
      <c r="I1637" s="4"/>
      <c r="J1637" s="4"/>
    </row>
    <row r="1638" spans="9:10" s="5" customFormat="1" ht="12.75">
      <c r="I1638" s="4"/>
      <c r="J1638" s="4"/>
    </row>
    <row r="1639" spans="9:10" s="5" customFormat="1" ht="12.75">
      <c r="I1639" s="4"/>
      <c r="J1639" s="4"/>
    </row>
    <row r="1640" spans="9:10" s="5" customFormat="1" ht="12.75">
      <c r="I1640" s="4"/>
      <c r="J1640" s="4"/>
    </row>
    <row r="1641" spans="9:10" s="5" customFormat="1" ht="12.75">
      <c r="I1641" s="4"/>
      <c r="J1641" s="4"/>
    </row>
    <row r="1642" spans="9:10" s="5" customFormat="1" ht="12.75">
      <c r="I1642" s="4"/>
      <c r="J1642" s="4"/>
    </row>
    <row r="1643" spans="9:10" s="5" customFormat="1" ht="12.75">
      <c r="I1643" s="4"/>
      <c r="J1643" s="4"/>
    </row>
    <row r="1644" spans="9:10" s="5" customFormat="1" ht="12.75">
      <c r="I1644" s="4"/>
      <c r="J1644" s="4"/>
    </row>
    <row r="1645" spans="9:10" s="5" customFormat="1" ht="12.75">
      <c r="I1645" s="4"/>
      <c r="J1645" s="4"/>
    </row>
    <row r="1646" spans="9:10" s="5" customFormat="1" ht="12.75">
      <c r="I1646" s="4"/>
      <c r="J1646" s="4"/>
    </row>
    <row r="1647" spans="9:10" s="5" customFormat="1" ht="12.75">
      <c r="I1647" s="4"/>
      <c r="J1647" s="4"/>
    </row>
    <row r="1648" spans="9:10" s="5" customFormat="1" ht="12.75">
      <c r="I1648" s="4"/>
      <c r="J1648" s="4"/>
    </row>
    <row r="1649" spans="9:10" s="5" customFormat="1" ht="12.75">
      <c r="I1649" s="4"/>
      <c r="J1649" s="4"/>
    </row>
    <row r="1650" spans="9:10" s="5" customFormat="1" ht="12.75">
      <c r="I1650" s="4"/>
      <c r="J1650" s="4"/>
    </row>
    <row r="1651" spans="9:10" s="5" customFormat="1" ht="12.75">
      <c r="I1651" s="4"/>
      <c r="J1651" s="4"/>
    </row>
    <row r="1652" spans="9:10" s="5" customFormat="1" ht="12.75">
      <c r="I1652" s="4"/>
      <c r="J1652" s="4"/>
    </row>
    <row r="1653" spans="9:10" s="5" customFormat="1" ht="12.75">
      <c r="I1653" s="4"/>
      <c r="J1653" s="4"/>
    </row>
    <row r="1654" spans="9:10" s="5" customFormat="1" ht="12.75">
      <c r="I1654" s="4"/>
      <c r="J1654" s="4"/>
    </row>
    <row r="1655" spans="9:10" s="5" customFormat="1" ht="12.75">
      <c r="I1655" s="4"/>
      <c r="J1655" s="4"/>
    </row>
    <row r="1656" spans="9:10" s="5" customFormat="1" ht="12.75">
      <c r="I1656" s="4"/>
      <c r="J1656" s="4"/>
    </row>
    <row r="1657" spans="9:10" s="5" customFormat="1" ht="12.75">
      <c r="I1657" s="4"/>
      <c r="J1657" s="4"/>
    </row>
    <row r="1658" spans="9:10" s="5" customFormat="1" ht="12.75">
      <c r="I1658" s="4"/>
      <c r="J1658" s="4"/>
    </row>
    <row r="1659" spans="9:10" s="5" customFormat="1" ht="12.75">
      <c r="I1659" s="4"/>
      <c r="J1659" s="4"/>
    </row>
    <row r="1660" spans="9:10" s="5" customFormat="1" ht="12.75">
      <c r="I1660" s="4"/>
      <c r="J1660" s="4"/>
    </row>
    <row r="1661" spans="9:10" s="5" customFormat="1" ht="12.75">
      <c r="I1661" s="4"/>
      <c r="J1661" s="4"/>
    </row>
    <row r="1662" spans="9:10" s="5" customFormat="1" ht="12.75">
      <c r="I1662" s="4"/>
      <c r="J1662" s="4"/>
    </row>
    <row r="1663" spans="9:10" s="5" customFormat="1" ht="12.75">
      <c r="I1663" s="4"/>
      <c r="J1663" s="4"/>
    </row>
    <row r="1664" spans="9:10" s="5" customFormat="1" ht="12.75">
      <c r="I1664" s="4"/>
      <c r="J1664" s="4"/>
    </row>
    <row r="1665" spans="9:10" s="5" customFormat="1" ht="12.75">
      <c r="I1665" s="4"/>
      <c r="J1665" s="4"/>
    </row>
    <row r="1666" spans="9:10" s="5" customFormat="1" ht="12.75">
      <c r="I1666" s="4"/>
      <c r="J1666" s="4"/>
    </row>
    <row r="1667" spans="9:10" s="5" customFormat="1" ht="12.75">
      <c r="I1667" s="4"/>
      <c r="J1667" s="4"/>
    </row>
    <row r="1668" spans="9:10" s="5" customFormat="1" ht="12.75">
      <c r="I1668" s="4"/>
      <c r="J1668" s="4"/>
    </row>
    <row r="1669" spans="9:10" s="5" customFormat="1" ht="12.75">
      <c r="I1669" s="4"/>
      <c r="J1669" s="4"/>
    </row>
    <row r="1670" spans="9:10" s="5" customFormat="1" ht="12.75">
      <c r="I1670" s="4"/>
      <c r="J1670" s="4"/>
    </row>
    <row r="1671" spans="9:10" s="5" customFormat="1" ht="12.75">
      <c r="I1671" s="4"/>
      <c r="J1671" s="4"/>
    </row>
    <row r="1672" spans="9:10" s="5" customFormat="1" ht="12.75">
      <c r="I1672" s="4"/>
      <c r="J1672" s="4"/>
    </row>
    <row r="1673" spans="9:10" s="5" customFormat="1" ht="12.75">
      <c r="I1673" s="4"/>
      <c r="J1673" s="4"/>
    </row>
    <row r="1674" spans="9:10" s="5" customFormat="1" ht="12.75">
      <c r="I1674" s="4"/>
      <c r="J1674" s="4"/>
    </row>
    <row r="1675" spans="9:10" s="5" customFormat="1" ht="12.75">
      <c r="I1675" s="4"/>
      <c r="J1675" s="4"/>
    </row>
    <row r="1676" spans="9:10" s="5" customFormat="1" ht="12.75">
      <c r="I1676" s="4"/>
      <c r="J1676" s="4"/>
    </row>
    <row r="1677" spans="9:10" s="5" customFormat="1" ht="12.75">
      <c r="I1677" s="4"/>
      <c r="J1677" s="4"/>
    </row>
    <row r="1678" spans="9:10" s="5" customFormat="1" ht="12.75">
      <c r="I1678" s="4"/>
      <c r="J1678" s="4"/>
    </row>
    <row r="1679" spans="9:10" s="5" customFormat="1" ht="12.75">
      <c r="I1679" s="4"/>
      <c r="J1679" s="4"/>
    </row>
    <row r="1680" spans="9:10" s="5" customFormat="1" ht="12.75">
      <c r="I1680" s="4"/>
      <c r="J1680" s="4"/>
    </row>
    <row r="1681" spans="9:10" s="5" customFormat="1" ht="12.75">
      <c r="I1681" s="4"/>
      <c r="J1681" s="4"/>
    </row>
    <row r="1682" spans="9:10" s="5" customFormat="1" ht="12.75">
      <c r="I1682" s="4"/>
      <c r="J1682" s="4"/>
    </row>
    <row r="1683" spans="9:10" s="5" customFormat="1" ht="12.75">
      <c r="I1683" s="4"/>
      <c r="J1683" s="4"/>
    </row>
    <row r="1684" spans="9:10" s="5" customFormat="1" ht="12.75">
      <c r="I1684" s="4"/>
      <c r="J1684" s="4"/>
    </row>
    <row r="1685" spans="9:10" s="5" customFormat="1" ht="12.75">
      <c r="I1685" s="4"/>
      <c r="J1685" s="4"/>
    </row>
    <row r="1686" spans="9:10" s="5" customFormat="1" ht="12.75">
      <c r="I1686" s="4"/>
      <c r="J1686" s="4"/>
    </row>
    <row r="1687" spans="9:10" s="5" customFormat="1" ht="12.75">
      <c r="I1687" s="4"/>
      <c r="J1687" s="4"/>
    </row>
    <row r="1688" spans="9:10" s="5" customFormat="1" ht="12.75">
      <c r="I1688" s="4"/>
      <c r="J1688" s="4"/>
    </row>
    <row r="1689" spans="9:10" s="5" customFormat="1" ht="12.75">
      <c r="I1689" s="4"/>
      <c r="J1689" s="4"/>
    </row>
    <row r="1690" spans="9:10" s="5" customFormat="1" ht="12.75">
      <c r="I1690" s="4"/>
      <c r="J1690" s="4"/>
    </row>
    <row r="1691" spans="9:10" s="5" customFormat="1" ht="12.75">
      <c r="I1691" s="4"/>
      <c r="J1691" s="4"/>
    </row>
    <row r="1692" spans="9:10" s="5" customFormat="1" ht="12.75">
      <c r="I1692" s="4"/>
      <c r="J1692" s="4"/>
    </row>
    <row r="1693" spans="9:10" s="5" customFormat="1" ht="12.75">
      <c r="I1693" s="4"/>
      <c r="J1693" s="4"/>
    </row>
    <row r="1694" spans="9:10" s="5" customFormat="1" ht="12.75">
      <c r="I1694" s="4"/>
      <c r="J1694" s="4"/>
    </row>
    <row r="1695" spans="9:10" s="5" customFormat="1" ht="12.75">
      <c r="I1695" s="4"/>
      <c r="J1695" s="4"/>
    </row>
    <row r="1696" spans="9:10" s="5" customFormat="1" ht="12.75">
      <c r="I1696" s="4"/>
      <c r="J1696" s="4"/>
    </row>
    <row r="1697" spans="9:10" s="5" customFormat="1" ht="12.75">
      <c r="I1697" s="4"/>
      <c r="J1697" s="4"/>
    </row>
    <row r="1698" spans="9:10" s="5" customFormat="1" ht="12.75">
      <c r="I1698" s="4"/>
      <c r="J1698" s="4"/>
    </row>
    <row r="1699" spans="9:10" s="5" customFormat="1" ht="12.75">
      <c r="I1699" s="4"/>
      <c r="J1699" s="4"/>
    </row>
    <row r="1700" spans="9:10" s="5" customFormat="1" ht="12.75">
      <c r="I1700" s="4"/>
      <c r="J1700" s="4"/>
    </row>
    <row r="1701" spans="9:10" s="5" customFormat="1" ht="12.75">
      <c r="I1701" s="4"/>
      <c r="J1701" s="4"/>
    </row>
    <row r="1702" spans="9:10" s="5" customFormat="1" ht="12.75">
      <c r="I1702" s="4"/>
      <c r="J1702" s="4"/>
    </row>
    <row r="1703" spans="9:10" s="5" customFormat="1" ht="12.75">
      <c r="I1703" s="4"/>
      <c r="J1703" s="4"/>
    </row>
    <row r="1704" spans="9:10" s="5" customFormat="1" ht="12.75">
      <c r="I1704" s="4"/>
      <c r="J1704" s="4"/>
    </row>
    <row r="1705" spans="9:10" s="5" customFormat="1" ht="12.75">
      <c r="I1705" s="4"/>
      <c r="J1705" s="4"/>
    </row>
    <row r="1706" spans="9:10" s="5" customFormat="1" ht="12.75">
      <c r="I1706" s="4"/>
      <c r="J1706" s="4"/>
    </row>
    <row r="1707" spans="9:10" s="5" customFormat="1" ht="12.75">
      <c r="I1707" s="4"/>
      <c r="J1707" s="4"/>
    </row>
    <row r="1708" spans="9:10" s="5" customFormat="1" ht="12.75">
      <c r="I1708" s="4"/>
      <c r="J1708" s="4"/>
    </row>
    <row r="1709" spans="9:10" s="5" customFormat="1" ht="12.75">
      <c r="I1709" s="4"/>
      <c r="J1709" s="4"/>
    </row>
    <row r="1710" spans="9:10" s="5" customFormat="1" ht="12.75">
      <c r="I1710" s="4"/>
      <c r="J1710" s="4"/>
    </row>
    <row r="1711" spans="9:10" s="5" customFormat="1" ht="12.75">
      <c r="I1711" s="4"/>
      <c r="J1711" s="4"/>
    </row>
    <row r="1712" spans="9:10" s="5" customFormat="1" ht="12.75">
      <c r="I1712" s="4"/>
      <c r="J1712" s="4"/>
    </row>
    <row r="1713" spans="9:10" s="5" customFormat="1" ht="12.75">
      <c r="I1713" s="4"/>
      <c r="J1713" s="4"/>
    </row>
    <row r="1714" spans="9:10" s="5" customFormat="1" ht="12.75">
      <c r="I1714" s="4"/>
      <c r="J1714" s="4"/>
    </row>
    <row r="1715" spans="9:10" s="5" customFormat="1" ht="12.75">
      <c r="I1715" s="4"/>
      <c r="J1715" s="4"/>
    </row>
    <row r="1716" spans="9:10" s="5" customFormat="1" ht="12.75">
      <c r="I1716" s="4"/>
      <c r="J1716" s="4"/>
    </row>
    <row r="1717" spans="9:10" s="5" customFormat="1" ht="12.75">
      <c r="I1717" s="4"/>
      <c r="J1717" s="4"/>
    </row>
    <row r="1718" spans="9:10" s="5" customFormat="1" ht="12.75">
      <c r="I1718" s="4"/>
      <c r="J1718" s="4"/>
    </row>
    <row r="1719" spans="9:10" s="5" customFormat="1" ht="12.75">
      <c r="I1719" s="4"/>
      <c r="J1719" s="4"/>
    </row>
    <row r="1720" spans="9:10" s="5" customFormat="1" ht="12.75">
      <c r="I1720" s="4"/>
      <c r="J1720" s="4"/>
    </row>
    <row r="1721" spans="9:10" s="5" customFormat="1" ht="12.75">
      <c r="I1721" s="4"/>
      <c r="J1721" s="4"/>
    </row>
    <row r="1722" spans="9:10" s="5" customFormat="1" ht="12.75">
      <c r="I1722" s="4"/>
      <c r="J1722" s="4"/>
    </row>
    <row r="1723" spans="9:10" s="5" customFormat="1" ht="12.75">
      <c r="I1723" s="4"/>
      <c r="J1723" s="4"/>
    </row>
    <row r="1724" spans="9:10" s="5" customFormat="1" ht="12.75">
      <c r="I1724" s="4"/>
      <c r="J1724" s="4"/>
    </row>
    <row r="1725" spans="9:10" s="5" customFormat="1" ht="12.75">
      <c r="I1725" s="4"/>
      <c r="J1725" s="4"/>
    </row>
    <row r="1726" spans="9:10" s="5" customFormat="1" ht="12.75">
      <c r="I1726" s="4"/>
      <c r="J1726" s="4"/>
    </row>
    <row r="1727" spans="9:10" s="5" customFormat="1" ht="12.75">
      <c r="I1727" s="4"/>
      <c r="J1727" s="4"/>
    </row>
    <row r="1728" spans="9:10" s="5" customFormat="1" ht="12.75">
      <c r="I1728" s="4"/>
      <c r="J1728" s="4"/>
    </row>
    <row r="1729" spans="9:10" s="5" customFormat="1" ht="12.75">
      <c r="I1729" s="4"/>
      <c r="J1729" s="4"/>
    </row>
    <row r="1730" spans="9:10" s="5" customFormat="1" ht="12.75">
      <c r="I1730" s="4"/>
      <c r="J1730" s="4"/>
    </row>
    <row r="1731" spans="9:10" s="5" customFormat="1" ht="12.75">
      <c r="I1731" s="4"/>
      <c r="J1731" s="4"/>
    </row>
    <row r="1732" spans="9:10" s="5" customFormat="1" ht="12.75">
      <c r="I1732" s="4"/>
      <c r="J1732" s="4"/>
    </row>
    <row r="1733" spans="9:10" s="5" customFormat="1" ht="12.75">
      <c r="I1733" s="4"/>
      <c r="J1733" s="4"/>
    </row>
    <row r="1734" spans="9:10" s="5" customFormat="1" ht="12.75">
      <c r="I1734" s="4"/>
      <c r="J1734" s="4"/>
    </row>
    <row r="1735" spans="9:10" s="5" customFormat="1" ht="12.75">
      <c r="I1735" s="4"/>
      <c r="J1735" s="4"/>
    </row>
    <row r="1736" spans="9:10" s="5" customFormat="1" ht="12.75">
      <c r="I1736" s="4"/>
      <c r="J1736" s="4"/>
    </row>
    <row r="1737" spans="9:10" s="5" customFormat="1" ht="12.75">
      <c r="I1737" s="4"/>
      <c r="J1737" s="4"/>
    </row>
    <row r="1738" spans="9:10" s="5" customFormat="1" ht="12.75">
      <c r="I1738" s="4"/>
      <c r="J1738" s="4"/>
    </row>
    <row r="1739" spans="9:10" s="5" customFormat="1" ht="12.75">
      <c r="I1739" s="4"/>
      <c r="J1739" s="4"/>
    </row>
    <row r="1740" spans="9:10" s="5" customFormat="1" ht="12.75">
      <c r="I1740" s="4"/>
      <c r="J1740" s="4"/>
    </row>
    <row r="1741" spans="9:10" s="5" customFormat="1" ht="12.75">
      <c r="I1741" s="4"/>
      <c r="J1741" s="4"/>
    </row>
    <row r="1742" spans="9:10" s="5" customFormat="1" ht="12.75">
      <c r="I1742" s="4"/>
      <c r="J1742" s="4"/>
    </row>
    <row r="1743" spans="9:10" s="5" customFormat="1" ht="12.75">
      <c r="I1743" s="4"/>
      <c r="J1743" s="4"/>
    </row>
    <row r="1744" spans="9:10" s="5" customFormat="1" ht="12.75">
      <c r="I1744" s="4"/>
      <c r="J1744" s="4"/>
    </row>
    <row r="1745" spans="9:10" s="5" customFormat="1" ht="12.75">
      <c r="I1745" s="4"/>
      <c r="J1745" s="4"/>
    </row>
    <row r="1746" spans="9:10" s="5" customFormat="1" ht="12.75">
      <c r="I1746" s="4"/>
      <c r="J1746" s="4"/>
    </row>
    <row r="1747" spans="9:10" s="5" customFormat="1" ht="12.75">
      <c r="I1747" s="4"/>
      <c r="J1747" s="4"/>
    </row>
    <row r="1748" spans="9:10" s="5" customFormat="1" ht="12.75">
      <c r="I1748" s="4"/>
      <c r="J1748" s="4"/>
    </row>
    <row r="1749" spans="9:10" s="5" customFormat="1" ht="12.75">
      <c r="I1749" s="4"/>
      <c r="J1749" s="4"/>
    </row>
    <row r="1750" spans="9:10" s="5" customFormat="1" ht="12.75">
      <c r="I1750" s="4"/>
      <c r="J1750" s="4"/>
    </row>
    <row r="1751" spans="9:10" s="5" customFormat="1" ht="12.75">
      <c r="I1751" s="4"/>
      <c r="J1751" s="4"/>
    </row>
    <row r="1752" spans="9:10" s="5" customFormat="1" ht="12.75">
      <c r="I1752" s="4"/>
      <c r="J1752" s="4"/>
    </row>
    <row r="1753" spans="9:10" s="5" customFormat="1" ht="12.75">
      <c r="I1753" s="4"/>
      <c r="J1753" s="4"/>
    </row>
    <row r="1754" spans="9:10" s="5" customFormat="1" ht="12.75">
      <c r="I1754" s="4"/>
      <c r="J1754" s="4"/>
    </row>
    <row r="1755" spans="9:10" s="5" customFormat="1" ht="12.75">
      <c r="I1755" s="4"/>
      <c r="J1755" s="4"/>
    </row>
    <row r="1756" spans="9:10" s="5" customFormat="1" ht="12.75">
      <c r="I1756" s="4"/>
      <c r="J1756" s="4"/>
    </row>
    <row r="1757" spans="9:10" s="5" customFormat="1" ht="12.75">
      <c r="I1757" s="4"/>
      <c r="J1757" s="4"/>
    </row>
    <row r="1758" spans="9:10" s="5" customFormat="1" ht="12.75">
      <c r="I1758" s="4"/>
      <c r="J1758" s="4"/>
    </row>
    <row r="1759" spans="9:10" s="5" customFormat="1" ht="12.75">
      <c r="I1759" s="4"/>
      <c r="J1759" s="4"/>
    </row>
    <row r="1760" spans="9:10" s="5" customFormat="1" ht="12.75">
      <c r="I1760" s="4"/>
      <c r="J1760" s="4"/>
    </row>
    <row r="1761" spans="9:10" s="5" customFormat="1" ht="12.75">
      <c r="I1761" s="4"/>
      <c r="J1761" s="4"/>
    </row>
    <row r="1762" spans="9:10" s="5" customFormat="1" ht="12.75">
      <c r="I1762" s="4"/>
      <c r="J1762" s="4"/>
    </row>
    <row r="1763" spans="9:10" s="5" customFormat="1" ht="12.75">
      <c r="I1763" s="4"/>
      <c r="J1763" s="4"/>
    </row>
    <row r="1764" spans="9:10" s="5" customFormat="1" ht="12.75">
      <c r="I1764" s="4"/>
      <c r="J1764" s="4"/>
    </row>
    <row r="1765" spans="9:10" s="5" customFormat="1" ht="12.75">
      <c r="I1765" s="4"/>
      <c r="J1765" s="4"/>
    </row>
    <row r="1766" spans="9:10" s="5" customFormat="1" ht="12.75">
      <c r="I1766" s="4"/>
      <c r="J1766" s="4"/>
    </row>
    <row r="1767" spans="9:10" s="5" customFormat="1" ht="12.75">
      <c r="I1767" s="4"/>
      <c r="J1767" s="4"/>
    </row>
    <row r="1768" spans="9:10" s="5" customFormat="1" ht="12.75">
      <c r="I1768" s="4"/>
      <c r="J1768" s="4"/>
    </row>
    <row r="1769" spans="9:10" s="5" customFormat="1" ht="12.75">
      <c r="I1769" s="4"/>
      <c r="J1769" s="4"/>
    </row>
    <row r="1770" spans="9:10" s="5" customFormat="1" ht="12.75">
      <c r="I1770" s="4"/>
      <c r="J1770" s="4"/>
    </row>
    <row r="1771" spans="9:10" s="5" customFormat="1" ht="12.75">
      <c r="I1771" s="4"/>
      <c r="J1771" s="4"/>
    </row>
    <row r="1772" spans="9:10" s="5" customFormat="1" ht="12.75">
      <c r="I1772" s="4"/>
      <c r="J1772" s="4"/>
    </row>
    <row r="1773" spans="9:10" s="5" customFormat="1" ht="12.75">
      <c r="I1773" s="4"/>
      <c r="J1773" s="4"/>
    </row>
    <row r="1774" spans="9:10" s="5" customFormat="1" ht="12.75">
      <c r="I1774" s="4"/>
      <c r="J1774" s="4"/>
    </row>
    <row r="1775" spans="9:10" s="5" customFormat="1" ht="12.75">
      <c r="I1775" s="4"/>
      <c r="J1775" s="4"/>
    </row>
    <row r="1776" spans="9:10" s="5" customFormat="1" ht="12.75">
      <c r="I1776" s="4"/>
      <c r="J1776" s="4"/>
    </row>
    <row r="1777" spans="9:10" s="5" customFormat="1" ht="12.75">
      <c r="I1777" s="4"/>
      <c r="J1777" s="4"/>
    </row>
    <row r="1778" spans="9:10" s="5" customFormat="1" ht="12.75">
      <c r="I1778" s="4"/>
      <c r="J1778" s="4"/>
    </row>
    <row r="1779" spans="9:10" s="5" customFormat="1" ht="12.75">
      <c r="I1779" s="4"/>
      <c r="J1779" s="4"/>
    </row>
    <row r="1780" spans="9:10" s="5" customFormat="1" ht="12.75">
      <c r="I1780" s="4"/>
      <c r="J1780" s="4"/>
    </row>
    <row r="1781" spans="9:10" s="5" customFormat="1" ht="12.75">
      <c r="I1781" s="4"/>
      <c r="J1781" s="4"/>
    </row>
    <row r="1782" spans="9:10" s="5" customFormat="1" ht="12.75">
      <c r="I1782" s="4"/>
      <c r="J1782" s="4"/>
    </row>
    <row r="1783" spans="9:10" s="5" customFormat="1" ht="12.75">
      <c r="I1783" s="4"/>
      <c r="J1783" s="4"/>
    </row>
    <row r="1784" spans="9:10" s="5" customFormat="1" ht="12.75">
      <c r="I1784" s="4"/>
      <c r="J1784" s="4"/>
    </row>
    <row r="1785" spans="9:10" s="5" customFormat="1" ht="12.75">
      <c r="I1785" s="4"/>
      <c r="J1785" s="4"/>
    </row>
    <row r="1786" spans="9:10" s="5" customFormat="1" ht="12.75">
      <c r="I1786" s="4"/>
      <c r="J1786" s="4"/>
    </row>
    <row r="1787" spans="9:10" s="5" customFormat="1" ht="12.75">
      <c r="I1787" s="4"/>
      <c r="J1787" s="4"/>
    </row>
    <row r="1788" spans="9:10" s="5" customFormat="1" ht="12.75">
      <c r="I1788" s="4"/>
      <c r="J1788" s="4"/>
    </row>
    <row r="1789" spans="9:10" s="5" customFormat="1" ht="12.75">
      <c r="I1789" s="4"/>
      <c r="J1789" s="4"/>
    </row>
    <row r="1790" spans="9:10" s="5" customFormat="1" ht="12.75">
      <c r="I1790" s="4"/>
      <c r="J1790" s="4"/>
    </row>
    <row r="1791" spans="9:10" s="5" customFormat="1" ht="12.75">
      <c r="I1791" s="4"/>
      <c r="J1791" s="4"/>
    </row>
    <row r="1792" spans="9:10" s="5" customFormat="1" ht="12.75">
      <c r="I1792" s="4"/>
      <c r="J1792" s="4"/>
    </row>
    <row r="1793" spans="9:10" s="5" customFormat="1" ht="12.75">
      <c r="I1793" s="4"/>
      <c r="J1793" s="4"/>
    </row>
    <row r="1794" spans="9:10" s="5" customFormat="1" ht="12.75">
      <c r="I1794" s="4"/>
      <c r="J1794" s="4"/>
    </row>
    <row r="1795" spans="9:10" s="5" customFormat="1" ht="12.75">
      <c r="I1795" s="4"/>
      <c r="J1795" s="4"/>
    </row>
    <row r="1796" spans="9:10" s="5" customFormat="1" ht="12.75">
      <c r="I1796" s="4"/>
      <c r="J1796" s="4"/>
    </row>
    <row r="1797" spans="9:10" s="5" customFormat="1" ht="12.75">
      <c r="I1797" s="4"/>
      <c r="J1797" s="4"/>
    </row>
    <row r="1798" spans="9:10" s="5" customFormat="1" ht="12.75">
      <c r="I1798" s="4"/>
      <c r="J1798" s="4"/>
    </row>
    <row r="1799" spans="9:10" s="5" customFormat="1" ht="12.75">
      <c r="I1799" s="4"/>
      <c r="J1799" s="4"/>
    </row>
    <row r="1800" spans="9:10" s="5" customFormat="1" ht="12.75">
      <c r="I1800" s="4"/>
      <c r="J1800" s="4"/>
    </row>
    <row r="1801" spans="9:10" s="5" customFormat="1" ht="12.75">
      <c r="I1801" s="4"/>
      <c r="J1801" s="4"/>
    </row>
    <row r="1802" spans="9:10" s="5" customFormat="1" ht="12.75">
      <c r="I1802" s="4"/>
      <c r="J1802" s="4"/>
    </row>
    <row r="1803" spans="9:10" s="5" customFormat="1" ht="12.75">
      <c r="I1803" s="4"/>
      <c r="J1803" s="4"/>
    </row>
    <row r="1804" spans="9:10" s="5" customFormat="1" ht="12.75">
      <c r="I1804" s="4"/>
      <c r="J1804" s="4"/>
    </row>
    <row r="1805" spans="9:10" s="5" customFormat="1" ht="12.75">
      <c r="I1805" s="4"/>
      <c r="J1805" s="4"/>
    </row>
    <row r="1806" spans="9:10" s="5" customFormat="1" ht="12.75">
      <c r="I1806" s="4"/>
      <c r="J1806" s="4"/>
    </row>
    <row r="1807" spans="9:10" s="5" customFormat="1" ht="12.75">
      <c r="I1807" s="4"/>
      <c r="J1807" s="4"/>
    </row>
    <row r="1808" spans="9:10" s="5" customFormat="1" ht="12.75">
      <c r="I1808" s="4"/>
      <c r="J1808" s="4"/>
    </row>
    <row r="1809" spans="9:10" s="5" customFormat="1" ht="12.75">
      <c r="I1809" s="4"/>
      <c r="J1809" s="4"/>
    </row>
    <row r="1810" spans="9:10" s="5" customFormat="1" ht="12.75">
      <c r="I1810" s="4"/>
      <c r="J1810" s="4"/>
    </row>
    <row r="1811" spans="9:10" s="5" customFormat="1" ht="12.75">
      <c r="I1811" s="4"/>
      <c r="J1811" s="4"/>
    </row>
    <row r="1812" spans="9:10" s="5" customFormat="1" ht="12.75">
      <c r="I1812" s="4"/>
      <c r="J1812" s="4"/>
    </row>
    <row r="1813" spans="9:10" s="5" customFormat="1" ht="12.75">
      <c r="I1813" s="4"/>
      <c r="J1813" s="4"/>
    </row>
    <row r="1814" spans="9:10" s="5" customFormat="1" ht="12.75">
      <c r="I1814" s="4"/>
      <c r="J1814" s="4"/>
    </row>
    <row r="1815" spans="9:10" s="5" customFormat="1" ht="12.75">
      <c r="I1815" s="4"/>
      <c r="J1815" s="4"/>
    </row>
    <row r="1816" spans="9:10" s="5" customFormat="1" ht="12.75">
      <c r="I1816" s="4"/>
      <c r="J1816" s="4"/>
    </row>
    <row r="1817" spans="9:10" s="5" customFormat="1" ht="12.75">
      <c r="I1817" s="4"/>
      <c r="J1817" s="4"/>
    </row>
    <row r="1818" spans="9:10" s="5" customFormat="1" ht="12.75">
      <c r="I1818" s="4"/>
      <c r="J1818" s="4"/>
    </row>
    <row r="1819" spans="9:10" s="5" customFormat="1" ht="12.75">
      <c r="I1819" s="4"/>
      <c r="J1819" s="4"/>
    </row>
    <row r="1820" spans="9:10" s="5" customFormat="1" ht="12.75">
      <c r="I1820" s="4"/>
      <c r="J1820" s="4"/>
    </row>
    <row r="1821" spans="9:10" s="5" customFormat="1" ht="12.75">
      <c r="I1821" s="4"/>
      <c r="J1821" s="4"/>
    </row>
    <row r="1822" spans="9:10" s="5" customFormat="1" ht="12.75">
      <c r="I1822" s="4"/>
      <c r="J1822" s="4"/>
    </row>
    <row r="1823" spans="9:10" s="5" customFormat="1" ht="12.75">
      <c r="I1823" s="4"/>
      <c r="J1823" s="4"/>
    </row>
    <row r="1824" spans="9:10" s="5" customFormat="1" ht="12.75">
      <c r="I1824" s="4"/>
      <c r="J1824" s="4"/>
    </row>
    <row r="1825" spans="9:10" s="5" customFormat="1" ht="12.75">
      <c r="I1825" s="4"/>
      <c r="J1825" s="4"/>
    </row>
    <row r="1826" spans="9:10" s="5" customFormat="1" ht="12.75">
      <c r="I1826" s="4"/>
      <c r="J1826" s="4"/>
    </row>
    <row r="1827" spans="9:10" s="5" customFormat="1" ht="12.75">
      <c r="I1827" s="4"/>
      <c r="J1827" s="4"/>
    </row>
    <row r="1828" spans="9:10" s="5" customFormat="1" ht="12.75">
      <c r="I1828" s="4"/>
      <c r="J1828" s="4"/>
    </row>
    <row r="1829" spans="9:10" s="5" customFormat="1" ht="12.75">
      <c r="I1829" s="4"/>
      <c r="J1829" s="4"/>
    </row>
    <row r="1830" spans="9:10" s="5" customFormat="1" ht="12.75">
      <c r="I1830" s="4"/>
      <c r="J1830" s="4"/>
    </row>
    <row r="1831" spans="9:10" s="5" customFormat="1" ht="12.75">
      <c r="I1831" s="4"/>
      <c r="J1831" s="4"/>
    </row>
    <row r="1832" spans="9:10" s="5" customFormat="1" ht="12.75">
      <c r="I1832" s="4"/>
      <c r="J1832" s="4"/>
    </row>
    <row r="1833" spans="9:10" s="5" customFormat="1" ht="12.75">
      <c r="I1833" s="4"/>
      <c r="J1833" s="4"/>
    </row>
    <row r="1834" spans="9:10" s="5" customFormat="1" ht="12.75">
      <c r="I1834" s="4"/>
      <c r="J1834" s="4"/>
    </row>
    <row r="1835" spans="9:10" s="5" customFormat="1" ht="12.75">
      <c r="I1835" s="4"/>
      <c r="J1835" s="4"/>
    </row>
    <row r="1836" spans="9:10" s="5" customFormat="1" ht="12.75">
      <c r="I1836" s="4"/>
      <c r="J1836" s="4"/>
    </row>
    <row r="1837" spans="9:10" s="5" customFormat="1" ht="12.75">
      <c r="I1837" s="4"/>
      <c r="J1837" s="4"/>
    </row>
    <row r="1838" spans="9:10" s="5" customFormat="1" ht="12.75">
      <c r="I1838" s="4"/>
      <c r="J1838" s="4"/>
    </row>
    <row r="1839" spans="9:10" s="5" customFormat="1" ht="12.75">
      <c r="I1839" s="4"/>
      <c r="J1839" s="4"/>
    </row>
    <row r="1840" spans="9:10" s="5" customFormat="1" ht="12.75">
      <c r="I1840" s="4"/>
      <c r="J1840" s="4"/>
    </row>
    <row r="1841" spans="9:10" s="5" customFormat="1" ht="12.75">
      <c r="I1841" s="4"/>
      <c r="J1841" s="4"/>
    </row>
    <row r="1842" spans="9:10" s="5" customFormat="1" ht="12.75">
      <c r="I1842" s="4"/>
      <c r="J1842" s="4"/>
    </row>
    <row r="1843" spans="9:10" s="5" customFormat="1" ht="12.75">
      <c r="I1843" s="4"/>
      <c r="J1843" s="4"/>
    </row>
    <row r="1844" spans="9:10" s="5" customFormat="1" ht="12.75">
      <c r="I1844" s="4"/>
      <c r="J1844" s="4"/>
    </row>
    <row r="1845" spans="9:10" s="5" customFormat="1" ht="12.75">
      <c r="I1845" s="4"/>
      <c r="J1845" s="4"/>
    </row>
    <row r="1846" spans="9:10" s="5" customFormat="1" ht="12.75">
      <c r="I1846" s="4"/>
      <c r="J1846" s="4"/>
    </row>
    <row r="1847" spans="9:10" s="5" customFormat="1" ht="12.75">
      <c r="I1847" s="4"/>
      <c r="J1847" s="4"/>
    </row>
    <row r="1848" spans="9:10" s="5" customFormat="1" ht="12.75">
      <c r="I1848" s="4"/>
      <c r="J1848" s="4"/>
    </row>
    <row r="1849" spans="9:10" s="5" customFormat="1" ht="12.75">
      <c r="I1849" s="4"/>
      <c r="J1849" s="4"/>
    </row>
    <row r="1850" spans="9:10" s="5" customFormat="1" ht="12.75">
      <c r="I1850" s="4"/>
      <c r="J1850" s="4"/>
    </row>
    <row r="1851" spans="9:10" s="5" customFormat="1" ht="12.75">
      <c r="I1851" s="4"/>
      <c r="J1851" s="4"/>
    </row>
    <row r="1852" spans="9:10" s="5" customFormat="1" ht="12.75">
      <c r="I1852" s="4"/>
      <c r="J1852" s="4"/>
    </row>
    <row r="1853" spans="9:10" s="5" customFormat="1" ht="12.75">
      <c r="I1853" s="4"/>
      <c r="J1853" s="4"/>
    </row>
    <row r="1854" spans="9:10" s="5" customFormat="1" ht="12.75">
      <c r="I1854" s="4"/>
      <c r="J1854" s="4"/>
    </row>
    <row r="1855" spans="9:10" s="5" customFormat="1" ht="12.75">
      <c r="I1855" s="4"/>
      <c r="J1855" s="4"/>
    </row>
    <row r="1856" spans="9:10" s="5" customFormat="1" ht="12.75">
      <c r="I1856" s="4"/>
      <c r="J1856" s="4"/>
    </row>
    <row r="1857" spans="9:10" s="5" customFormat="1" ht="12.75">
      <c r="I1857" s="4"/>
      <c r="J1857" s="4"/>
    </row>
    <row r="1858" spans="9:10" s="5" customFormat="1" ht="12.75">
      <c r="I1858" s="4"/>
      <c r="J1858" s="4"/>
    </row>
    <row r="1859" spans="9:10" s="5" customFormat="1" ht="12.75">
      <c r="I1859" s="4"/>
      <c r="J1859" s="4"/>
    </row>
    <row r="1860" spans="9:10" s="5" customFormat="1" ht="12.75">
      <c r="I1860" s="4"/>
      <c r="J1860" s="4"/>
    </row>
    <row r="1861" spans="9:10" s="5" customFormat="1" ht="12.75">
      <c r="I1861" s="4"/>
      <c r="J1861" s="4"/>
    </row>
    <row r="1862" spans="9:10" s="5" customFormat="1" ht="12.75">
      <c r="I1862" s="4"/>
      <c r="J1862" s="4"/>
    </row>
    <row r="1863" spans="9:10" s="5" customFormat="1" ht="12.75">
      <c r="I1863" s="4"/>
      <c r="J1863" s="4"/>
    </row>
    <row r="1864" spans="9:10" s="5" customFormat="1" ht="12.75">
      <c r="I1864" s="4"/>
      <c r="J1864" s="4"/>
    </row>
    <row r="1865" spans="9:10" s="5" customFormat="1" ht="12.75">
      <c r="I1865" s="4"/>
      <c r="J1865" s="4"/>
    </row>
    <row r="1866" spans="9:10" s="5" customFormat="1" ht="12.75">
      <c r="I1866" s="4"/>
      <c r="J1866" s="4"/>
    </row>
    <row r="1867" spans="9:10" s="5" customFormat="1" ht="12.75">
      <c r="I1867" s="4"/>
      <c r="J1867" s="4"/>
    </row>
    <row r="1868" spans="9:10" s="5" customFormat="1" ht="12.75">
      <c r="I1868" s="4"/>
      <c r="J1868" s="4"/>
    </row>
    <row r="1869" spans="9:10" s="5" customFormat="1" ht="12.75">
      <c r="I1869" s="4"/>
      <c r="J1869" s="4"/>
    </row>
    <row r="1870" spans="9:10" s="5" customFormat="1" ht="12.75">
      <c r="I1870" s="4"/>
      <c r="J1870" s="4"/>
    </row>
    <row r="1871" spans="9:10" s="5" customFormat="1" ht="12.75">
      <c r="I1871" s="4"/>
      <c r="J1871" s="4"/>
    </row>
    <row r="1872" spans="9:10" s="5" customFormat="1" ht="12.75">
      <c r="I1872" s="4"/>
      <c r="J1872" s="4"/>
    </row>
    <row r="1873" spans="9:10" s="5" customFormat="1" ht="12.75">
      <c r="I1873" s="4"/>
      <c r="J1873" s="4"/>
    </row>
    <row r="1874" spans="9:10" s="5" customFormat="1" ht="12.75">
      <c r="I1874" s="4"/>
      <c r="J1874" s="4"/>
    </row>
    <row r="1875" spans="9:10" s="5" customFormat="1" ht="12.75">
      <c r="I1875" s="4"/>
      <c r="J1875" s="4"/>
    </row>
    <row r="1876" spans="9:10" s="5" customFormat="1" ht="12.75">
      <c r="I1876" s="4"/>
      <c r="J1876" s="4"/>
    </row>
    <row r="1877" spans="9:10" s="5" customFormat="1" ht="12.75">
      <c r="I1877" s="4"/>
      <c r="J1877" s="4"/>
    </row>
    <row r="1878" spans="9:10" s="5" customFormat="1" ht="12.75">
      <c r="I1878" s="4"/>
      <c r="J1878" s="4"/>
    </row>
    <row r="1879" spans="9:10" s="5" customFormat="1" ht="12.75">
      <c r="I1879" s="4"/>
      <c r="J1879" s="4"/>
    </row>
    <row r="1880" spans="9:10" s="5" customFormat="1" ht="12.75">
      <c r="I1880" s="4"/>
      <c r="J1880" s="4"/>
    </row>
    <row r="1881" spans="9:10" s="5" customFormat="1" ht="12.75">
      <c r="I1881" s="4"/>
      <c r="J1881" s="4"/>
    </row>
    <row r="1882" spans="9:10" s="5" customFormat="1" ht="12.75">
      <c r="I1882" s="4"/>
      <c r="J1882" s="4"/>
    </row>
    <row r="1883" spans="9:10" s="5" customFormat="1" ht="12.75">
      <c r="I1883" s="4"/>
      <c r="J1883" s="4"/>
    </row>
    <row r="1884" spans="9:10" s="5" customFormat="1" ht="12.75">
      <c r="I1884" s="4"/>
      <c r="J1884" s="4"/>
    </row>
    <row r="1885" spans="9:10" s="5" customFormat="1" ht="12.75">
      <c r="I1885" s="4"/>
      <c r="J1885" s="4"/>
    </row>
    <row r="1886" spans="9:10" s="5" customFormat="1" ht="12.75">
      <c r="I1886" s="4"/>
      <c r="J1886" s="4"/>
    </row>
    <row r="1887" spans="9:10" s="5" customFormat="1" ht="12.75">
      <c r="I1887" s="4"/>
      <c r="J1887" s="4"/>
    </row>
    <row r="1888" spans="9:10" s="5" customFormat="1" ht="12.75">
      <c r="I1888" s="4"/>
      <c r="J1888" s="4"/>
    </row>
    <row r="1889" spans="9:10" s="5" customFormat="1" ht="12.75">
      <c r="I1889" s="4"/>
      <c r="J1889" s="4"/>
    </row>
    <row r="1890" spans="9:10" s="5" customFormat="1" ht="12.75">
      <c r="I1890" s="4"/>
      <c r="J1890" s="4"/>
    </row>
    <row r="1891" spans="9:10" s="5" customFormat="1" ht="12.75">
      <c r="I1891" s="4"/>
      <c r="J1891" s="4"/>
    </row>
    <row r="1892" spans="9:10" s="5" customFormat="1" ht="12.75">
      <c r="I1892" s="4"/>
      <c r="J1892" s="4"/>
    </row>
    <row r="1893" spans="9:10" s="5" customFormat="1" ht="12.75">
      <c r="I1893" s="4"/>
      <c r="J1893" s="4"/>
    </row>
    <row r="1894" spans="9:10" s="5" customFormat="1" ht="12.75">
      <c r="I1894" s="4"/>
      <c r="J1894" s="4"/>
    </row>
    <row r="1895" spans="9:10" s="5" customFormat="1" ht="12.75">
      <c r="I1895" s="4"/>
      <c r="J1895" s="4"/>
    </row>
    <row r="1896" spans="9:10" s="5" customFormat="1" ht="12.75">
      <c r="I1896" s="4"/>
      <c r="J1896" s="4"/>
    </row>
    <row r="1897" spans="9:10" s="5" customFormat="1" ht="12.75">
      <c r="I1897" s="4"/>
      <c r="J1897" s="4"/>
    </row>
    <row r="1898" spans="9:10" s="5" customFormat="1" ht="12.75">
      <c r="I1898" s="4"/>
      <c r="J1898" s="4"/>
    </row>
    <row r="1899" spans="9:10" s="5" customFormat="1" ht="12.75">
      <c r="I1899" s="4"/>
      <c r="J1899" s="4"/>
    </row>
    <row r="1900" spans="9:10" s="5" customFormat="1" ht="12.75">
      <c r="I1900" s="4"/>
      <c r="J1900" s="4"/>
    </row>
    <row r="1901" spans="9:10" s="5" customFormat="1" ht="12.75">
      <c r="I1901" s="4"/>
      <c r="J1901" s="4"/>
    </row>
    <row r="1902" spans="9:10" s="5" customFormat="1" ht="12.75">
      <c r="I1902" s="4"/>
      <c r="J1902" s="4"/>
    </row>
    <row r="1903" spans="9:10" s="5" customFormat="1" ht="12.75">
      <c r="I1903" s="4"/>
      <c r="J1903" s="4"/>
    </row>
    <row r="1904" spans="9:10" s="5" customFormat="1" ht="12.75">
      <c r="I1904" s="4"/>
      <c r="J1904" s="4"/>
    </row>
    <row r="1905" spans="9:10" s="5" customFormat="1" ht="12.75">
      <c r="I1905" s="4"/>
      <c r="J1905" s="4"/>
    </row>
    <row r="1906" spans="9:10" s="5" customFormat="1" ht="12.75">
      <c r="I1906" s="4"/>
      <c r="J1906" s="4"/>
    </row>
    <row r="1907" spans="9:10" s="5" customFormat="1" ht="12.75">
      <c r="I1907" s="4"/>
      <c r="J1907" s="4"/>
    </row>
    <row r="1908" spans="9:10" s="5" customFormat="1" ht="12.75">
      <c r="I1908" s="4"/>
      <c r="J1908" s="4"/>
    </row>
    <row r="1909" spans="9:10" s="5" customFormat="1" ht="12.75">
      <c r="I1909" s="4"/>
      <c r="J1909" s="4"/>
    </row>
    <row r="1910" spans="9:10" s="5" customFormat="1" ht="12.75">
      <c r="I1910" s="4"/>
      <c r="J1910" s="4"/>
    </row>
    <row r="1911" spans="9:10" s="5" customFormat="1" ht="12.75">
      <c r="I1911" s="4"/>
      <c r="J1911" s="4"/>
    </row>
    <row r="1912" spans="9:10" s="5" customFormat="1" ht="12.75">
      <c r="I1912" s="4"/>
      <c r="J1912" s="4"/>
    </row>
    <row r="1913" spans="9:10" s="5" customFormat="1" ht="12.75">
      <c r="I1913" s="4"/>
      <c r="J1913" s="4"/>
    </row>
    <row r="1914" spans="9:10" s="5" customFormat="1" ht="12.75">
      <c r="I1914" s="4"/>
      <c r="J1914" s="4"/>
    </row>
    <row r="1915" spans="9:10" s="5" customFormat="1" ht="12.75">
      <c r="I1915" s="4"/>
      <c r="J1915" s="4"/>
    </row>
    <row r="1916" spans="9:10" s="5" customFormat="1" ht="12.75">
      <c r="I1916" s="4"/>
      <c r="J1916" s="4"/>
    </row>
    <row r="1917" spans="9:10" s="5" customFormat="1" ht="12.75">
      <c r="I1917" s="4"/>
      <c r="J1917" s="4"/>
    </row>
    <row r="1918" spans="9:10" s="5" customFormat="1" ht="12.75">
      <c r="I1918" s="4"/>
      <c r="J1918" s="4"/>
    </row>
    <row r="1919" spans="9:10" s="5" customFormat="1" ht="12.75">
      <c r="I1919" s="4"/>
      <c r="J1919" s="4"/>
    </row>
    <row r="1920" spans="9:10" s="5" customFormat="1" ht="12.75">
      <c r="I1920" s="4"/>
      <c r="J1920" s="4"/>
    </row>
    <row r="1921" spans="9:10" s="5" customFormat="1" ht="12.75">
      <c r="I1921" s="4"/>
      <c r="J1921" s="4"/>
    </row>
    <row r="1922" spans="9:10" s="5" customFormat="1" ht="12.75">
      <c r="I1922" s="4"/>
      <c r="J1922" s="4"/>
    </row>
    <row r="1923" spans="9:10" s="5" customFormat="1" ht="12.75">
      <c r="I1923" s="4"/>
      <c r="J1923" s="4"/>
    </row>
    <row r="1924" spans="9:10" s="5" customFormat="1" ht="12.75">
      <c r="I1924" s="4"/>
      <c r="J1924" s="4"/>
    </row>
    <row r="1925" spans="9:10" s="5" customFormat="1" ht="12.75">
      <c r="I1925" s="4"/>
      <c r="J1925" s="4"/>
    </row>
    <row r="1926" spans="9:10" s="5" customFormat="1" ht="12.75">
      <c r="I1926" s="4"/>
      <c r="J1926" s="4"/>
    </row>
    <row r="1927" spans="9:10" s="5" customFormat="1" ht="12.75">
      <c r="I1927" s="4"/>
      <c r="J1927" s="4"/>
    </row>
    <row r="1928" spans="9:10" s="5" customFormat="1" ht="12.75">
      <c r="I1928" s="4"/>
      <c r="J1928" s="4"/>
    </row>
    <row r="1929" spans="9:10" s="5" customFormat="1" ht="12.75">
      <c r="I1929" s="4"/>
      <c r="J1929" s="4"/>
    </row>
    <row r="1930" spans="9:10" s="5" customFormat="1" ht="12.75">
      <c r="I1930" s="4"/>
      <c r="J1930" s="4"/>
    </row>
    <row r="1931" spans="9:10" s="5" customFormat="1" ht="12.75">
      <c r="I1931" s="4"/>
      <c r="J1931" s="4"/>
    </row>
    <row r="1932" spans="9:10" s="5" customFormat="1" ht="12.75">
      <c r="I1932" s="4"/>
      <c r="J1932" s="4"/>
    </row>
    <row r="1933" spans="9:10" s="5" customFormat="1" ht="12.75">
      <c r="I1933" s="4"/>
      <c r="J1933" s="4"/>
    </row>
    <row r="1934" spans="9:10" s="5" customFormat="1" ht="12.75">
      <c r="I1934" s="4"/>
      <c r="J1934" s="4"/>
    </row>
    <row r="1935" spans="9:10" s="5" customFormat="1" ht="12.75">
      <c r="I1935" s="4"/>
      <c r="J1935" s="4"/>
    </row>
    <row r="1936" spans="9:10" s="5" customFormat="1" ht="12.75">
      <c r="I1936" s="4"/>
      <c r="J1936" s="4"/>
    </row>
    <row r="1937" spans="9:10" s="5" customFormat="1" ht="12.75">
      <c r="I1937" s="4"/>
      <c r="J1937" s="4"/>
    </row>
    <row r="1938" spans="9:10" s="5" customFormat="1" ht="12.75">
      <c r="I1938" s="4"/>
      <c r="J1938" s="4"/>
    </row>
    <row r="1939" spans="9:10" s="5" customFormat="1" ht="12.75">
      <c r="I1939" s="4"/>
      <c r="J1939" s="4"/>
    </row>
    <row r="1940" spans="9:10" s="5" customFormat="1" ht="12.75">
      <c r="I1940" s="4"/>
      <c r="J1940" s="4"/>
    </row>
    <row r="1941" spans="9:10" s="5" customFormat="1" ht="12.75">
      <c r="I1941" s="4"/>
      <c r="J1941" s="4"/>
    </row>
    <row r="1942" spans="9:10" s="5" customFormat="1" ht="12.75">
      <c r="I1942" s="4"/>
      <c r="J1942" s="4"/>
    </row>
    <row r="1943" spans="9:10" s="5" customFormat="1" ht="12.75">
      <c r="I1943" s="4"/>
      <c r="J1943" s="4"/>
    </row>
    <row r="1944" spans="9:10" s="5" customFormat="1" ht="12.75">
      <c r="I1944" s="4"/>
      <c r="J1944" s="4"/>
    </row>
    <row r="1945" spans="9:10" s="5" customFormat="1" ht="12.75">
      <c r="I1945" s="4"/>
      <c r="J1945" s="4"/>
    </row>
    <row r="1946" spans="9:10" s="5" customFormat="1" ht="12.75">
      <c r="I1946" s="4"/>
      <c r="J1946" s="4"/>
    </row>
    <row r="1947" spans="9:10" s="5" customFormat="1" ht="12.75">
      <c r="I1947" s="4"/>
      <c r="J1947" s="4"/>
    </row>
    <row r="1948" spans="9:10" s="5" customFormat="1" ht="12.75">
      <c r="I1948" s="4"/>
      <c r="J1948" s="4"/>
    </row>
    <row r="1949" spans="9:10" s="5" customFormat="1" ht="12.75">
      <c r="I1949" s="4"/>
      <c r="J1949" s="4"/>
    </row>
    <row r="1950" spans="9:10" s="5" customFormat="1" ht="12.75">
      <c r="I1950" s="4"/>
      <c r="J1950" s="4"/>
    </row>
    <row r="1951" spans="9:10" s="5" customFormat="1" ht="12.75">
      <c r="I1951" s="4"/>
      <c r="J1951" s="4"/>
    </row>
    <row r="1952" spans="9:10" s="5" customFormat="1" ht="12.75">
      <c r="I1952" s="4"/>
      <c r="J1952" s="4"/>
    </row>
    <row r="1953" spans="9:10" s="5" customFormat="1" ht="12.75">
      <c r="I1953" s="4"/>
      <c r="J1953" s="4"/>
    </row>
    <row r="1954" spans="9:10" s="5" customFormat="1" ht="12.75">
      <c r="I1954" s="4"/>
      <c r="J1954" s="4"/>
    </row>
    <row r="1955" spans="9:10" s="5" customFormat="1" ht="12.75">
      <c r="I1955" s="4"/>
      <c r="J1955" s="4"/>
    </row>
    <row r="1956" spans="9:10" s="5" customFormat="1" ht="12.75">
      <c r="I1956" s="4"/>
      <c r="J1956" s="4"/>
    </row>
    <row r="1957" spans="9:10" s="5" customFormat="1" ht="12.75">
      <c r="I1957" s="4"/>
      <c r="J1957" s="4"/>
    </row>
    <row r="1958" spans="9:10" s="5" customFormat="1" ht="12.75">
      <c r="I1958" s="4"/>
      <c r="J1958" s="4"/>
    </row>
    <row r="1959" spans="9:10" s="5" customFormat="1" ht="12.75">
      <c r="I1959" s="4"/>
      <c r="J1959" s="4"/>
    </row>
    <row r="1960" spans="9:10" s="5" customFormat="1" ht="12.75">
      <c r="I1960" s="4"/>
      <c r="J1960" s="4"/>
    </row>
    <row r="1961" spans="9:10" s="5" customFormat="1" ht="12.75">
      <c r="I1961" s="4"/>
      <c r="J1961" s="4"/>
    </row>
    <row r="1962" spans="9:10" s="5" customFormat="1" ht="12.75">
      <c r="I1962" s="4"/>
      <c r="J1962" s="4"/>
    </row>
    <row r="1963" spans="9:10" s="5" customFormat="1" ht="12.75">
      <c r="I1963" s="4"/>
      <c r="J1963" s="4"/>
    </row>
    <row r="1964" spans="9:10" s="5" customFormat="1" ht="12.75">
      <c r="I1964" s="4"/>
      <c r="J1964" s="4"/>
    </row>
    <row r="1965" spans="9:10" s="5" customFormat="1" ht="12.75">
      <c r="I1965" s="4"/>
      <c r="J1965" s="4"/>
    </row>
    <row r="1966" spans="9:10" s="5" customFormat="1" ht="12.75">
      <c r="I1966" s="4"/>
      <c r="J1966" s="4"/>
    </row>
    <row r="1967" spans="9:10" s="5" customFormat="1" ht="12.75">
      <c r="I1967" s="4"/>
      <c r="J1967" s="4"/>
    </row>
    <row r="1968" spans="9:10" s="5" customFormat="1" ht="12.75">
      <c r="I1968" s="4"/>
      <c r="J1968" s="4"/>
    </row>
    <row r="1969" spans="9:10" s="5" customFormat="1" ht="12.75">
      <c r="I1969" s="4"/>
      <c r="J1969" s="4"/>
    </row>
    <row r="1970" spans="9:10" s="5" customFormat="1" ht="12.75">
      <c r="I1970" s="4"/>
      <c r="J1970" s="4"/>
    </row>
    <row r="1971" spans="9:10" s="5" customFormat="1" ht="12.75">
      <c r="I1971" s="4"/>
      <c r="J1971" s="4"/>
    </row>
    <row r="1972" spans="9:10" s="5" customFormat="1" ht="12.75">
      <c r="I1972" s="4"/>
      <c r="J1972" s="4"/>
    </row>
    <row r="1973" spans="9:10" s="5" customFormat="1" ht="12.75">
      <c r="I1973" s="4"/>
      <c r="J1973" s="4"/>
    </row>
    <row r="1974" spans="9:10" s="5" customFormat="1" ht="12.75">
      <c r="I1974" s="4"/>
      <c r="J1974" s="4"/>
    </row>
    <row r="1975" spans="9:10" s="5" customFormat="1" ht="12.75">
      <c r="I1975" s="4"/>
      <c r="J1975" s="4"/>
    </row>
    <row r="1976" spans="9:10" s="5" customFormat="1" ht="12.75">
      <c r="I1976" s="4"/>
      <c r="J1976" s="4"/>
    </row>
    <row r="1977" spans="9:10" s="5" customFormat="1" ht="12.75">
      <c r="I1977" s="4"/>
      <c r="J1977" s="4"/>
    </row>
    <row r="1978" spans="9:10" s="5" customFormat="1" ht="12.75">
      <c r="I1978" s="4"/>
      <c r="J1978" s="4"/>
    </row>
    <row r="1979" spans="9:10" s="5" customFormat="1" ht="12.75">
      <c r="I1979" s="4"/>
      <c r="J1979" s="4"/>
    </row>
    <row r="1980" spans="9:10" s="5" customFormat="1" ht="12.75">
      <c r="I1980" s="4"/>
      <c r="J1980" s="4"/>
    </row>
    <row r="1981" spans="9:10" s="5" customFormat="1" ht="12.75">
      <c r="I1981" s="4"/>
      <c r="J1981" s="4"/>
    </row>
    <row r="1982" spans="9:10" s="5" customFormat="1" ht="12.75">
      <c r="I1982" s="4"/>
      <c r="J1982" s="4"/>
    </row>
    <row r="1983" spans="9:10" s="5" customFormat="1" ht="12.75">
      <c r="I1983" s="4"/>
      <c r="J1983" s="4"/>
    </row>
    <row r="1984" spans="9:10" s="5" customFormat="1" ht="12.75">
      <c r="I1984" s="4"/>
      <c r="J1984" s="4"/>
    </row>
    <row r="1985" spans="9:10" s="5" customFormat="1" ht="12.75">
      <c r="I1985" s="4"/>
      <c r="J1985" s="4"/>
    </row>
    <row r="1986" spans="9:10" s="5" customFormat="1" ht="12.75">
      <c r="I1986" s="4"/>
      <c r="J1986" s="4"/>
    </row>
    <row r="1987" spans="9:10" s="5" customFormat="1" ht="12.75">
      <c r="I1987" s="4"/>
      <c r="J1987" s="4"/>
    </row>
    <row r="1988" spans="9:10" s="5" customFormat="1" ht="12.75">
      <c r="I1988" s="4"/>
      <c r="J1988" s="4"/>
    </row>
    <row r="1989" spans="9:10" s="5" customFormat="1" ht="12.75">
      <c r="I1989" s="4"/>
      <c r="J1989" s="4"/>
    </row>
    <row r="1990" spans="9:10" s="5" customFormat="1" ht="12.75">
      <c r="I1990" s="4"/>
      <c r="J1990" s="4"/>
    </row>
    <row r="1991" spans="9:10" s="5" customFormat="1" ht="12.75">
      <c r="I1991" s="4"/>
      <c r="J1991" s="4"/>
    </row>
    <row r="1992" spans="9:10" s="5" customFormat="1" ht="12.75">
      <c r="I1992" s="4"/>
      <c r="J1992" s="4"/>
    </row>
    <row r="1993" spans="9:10" s="5" customFormat="1" ht="12.75">
      <c r="I1993" s="4"/>
      <c r="J1993" s="4"/>
    </row>
    <row r="1994" spans="9:10" s="5" customFormat="1" ht="12.75">
      <c r="I1994" s="4"/>
      <c r="J1994" s="4"/>
    </row>
    <row r="1995" spans="9:10" s="5" customFormat="1" ht="12.75">
      <c r="I1995" s="4"/>
      <c r="J1995" s="4"/>
    </row>
    <row r="1996" spans="9:10" s="5" customFormat="1" ht="12.75">
      <c r="I1996" s="4"/>
      <c r="J1996" s="4"/>
    </row>
    <row r="1997" spans="9:10" s="5" customFormat="1" ht="12.75">
      <c r="I1997" s="4"/>
      <c r="J1997" s="4"/>
    </row>
    <row r="1998" spans="9:10" s="5" customFormat="1" ht="12.75">
      <c r="I1998" s="4"/>
      <c r="J1998" s="4"/>
    </row>
    <row r="1999" spans="9:10" s="5" customFormat="1" ht="12.75">
      <c r="I1999" s="4"/>
      <c r="J1999" s="4"/>
    </row>
    <row r="2000" spans="9:10" s="5" customFormat="1" ht="12.75">
      <c r="I2000" s="4"/>
      <c r="J2000" s="4"/>
    </row>
    <row r="2001" spans="9:10" s="5" customFormat="1" ht="12.75">
      <c r="I2001" s="4"/>
      <c r="J2001" s="4"/>
    </row>
    <row r="2002" spans="9:10" s="5" customFormat="1" ht="12.75">
      <c r="I2002" s="4"/>
      <c r="J2002" s="4"/>
    </row>
    <row r="2003" spans="9:10" s="5" customFormat="1" ht="12.75">
      <c r="I2003" s="4"/>
      <c r="J2003" s="4"/>
    </row>
    <row r="2004" spans="9:10" s="5" customFormat="1" ht="12.75">
      <c r="I2004" s="4"/>
      <c r="J2004" s="4"/>
    </row>
    <row r="2005" spans="9:10" s="5" customFormat="1" ht="12.75">
      <c r="I2005" s="4"/>
      <c r="J2005" s="4"/>
    </row>
    <row r="2006" spans="9:10" s="5" customFormat="1" ht="12.75">
      <c r="I2006" s="4"/>
      <c r="J2006" s="4"/>
    </row>
    <row r="2007" spans="9:10" s="5" customFormat="1" ht="12.75">
      <c r="I2007" s="4"/>
      <c r="J2007" s="4"/>
    </row>
    <row r="2008" spans="9:10" s="5" customFormat="1" ht="12.75">
      <c r="I2008" s="4"/>
      <c r="J2008" s="4"/>
    </row>
    <row r="2009" spans="9:10" s="5" customFormat="1" ht="12.75">
      <c r="I2009" s="4"/>
      <c r="J2009" s="4"/>
    </row>
    <row r="2010" spans="9:10" s="5" customFormat="1" ht="12.75">
      <c r="I2010" s="4"/>
      <c r="J2010" s="4"/>
    </row>
    <row r="2011" spans="9:10" s="5" customFormat="1" ht="12.75">
      <c r="I2011" s="4"/>
      <c r="J2011" s="4"/>
    </row>
    <row r="2012" spans="9:10" s="5" customFormat="1" ht="12.75">
      <c r="I2012" s="4"/>
      <c r="J2012" s="4"/>
    </row>
    <row r="2013" spans="9:10" s="5" customFormat="1" ht="12.75">
      <c r="I2013" s="4"/>
      <c r="J2013" s="4"/>
    </row>
    <row r="2014" spans="9:10" s="5" customFormat="1" ht="12.75">
      <c r="I2014" s="4"/>
      <c r="J2014" s="4"/>
    </row>
    <row r="2015" spans="9:10" s="5" customFormat="1" ht="12.75">
      <c r="I2015" s="4"/>
      <c r="J2015" s="4"/>
    </row>
    <row r="2016" spans="9:10" s="5" customFormat="1" ht="12.75">
      <c r="I2016" s="4"/>
      <c r="J2016" s="4"/>
    </row>
    <row r="2017" spans="9:10" s="5" customFormat="1" ht="12.75">
      <c r="I2017" s="4"/>
      <c r="J2017" s="4"/>
    </row>
    <row r="2018" spans="9:10" s="5" customFormat="1" ht="12.75">
      <c r="I2018" s="4"/>
      <c r="J2018" s="4"/>
    </row>
    <row r="2019" spans="9:10" s="5" customFormat="1" ht="12.75">
      <c r="I2019" s="4"/>
      <c r="J2019" s="4"/>
    </row>
    <row r="2020" spans="9:10" s="5" customFormat="1" ht="12.75">
      <c r="I2020" s="4"/>
      <c r="J2020" s="4"/>
    </row>
    <row r="2021" spans="9:10" s="5" customFormat="1" ht="12.75">
      <c r="I2021" s="4"/>
      <c r="J2021" s="4"/>
    </row>
    <row r="2022" spans="9:10" s="5" customFormat="1" ht="12.75">
      <c r="I2022" s="4"/>
      <c r="J2022" s="4"/>
    </row>
    <row r="2023" spans="9:10" s="5" customFormat="1" ht="12.75">
      <c r="I2023" s="4"/>
      <c r="J2023" s="4"/>
    </row>
    <row r="2024" spans="9:10" s="5" customFormat="1" ht="12.75">
      <c r="I2024" s="4"/>
      <c r="J2024" s="4"/>
    </row>
    <row r="2025" spans="9:10" s="5" customFormat="1" ht="12.75">
      <c r="I2025" s="4"/>
      <c r="J2025" s="4"/>
    </row>
    <row r="2026" spans="9:10" s="5" customFormat="1" ht="12.75">
      <c r="I2026" s="4"/>
      <c r="J2026" s="4"/>
    </row>
    <row r="2027" spans="9:10" s="5" customFormat="1" ht="12.75">
      <c r="I2027" s="4"/>
      <c r="J2027" s="4"/>
    </row>
    <row r="2028" spans="9:10" s="5" customFormat="1" ht="12.75">
      <c r="I2028" s="4"/>
      <c r="J2028" s="4"/>
    </row>
    <row r="2029" spans="9:10" s="5" customFormat="1" ht="12.75">
      <c r="I2029" s="4"/>
      <c r="J2029" s="4"/>
    </row>
    <row r="2030" spans="9:10" s="5" customFormat="1" ht="12.75">
      <c r="I2030" s="4"/>
      <c r="J2030" s="4"/>
    </row>
    <row r="2031" spans="9:10" s="5" customFormat="1" ht="12.75">
      <c r="I2031" s="4"/>
      <c r="J2031" s="4"/>
    </row>
    <row r="2032" spans="9:10" s="5" customFormat="1" ht="12.75">
      <c r="I2032" s="4"/>
      <c r="J2032" s="4"/>
    </row>
    <row r="2033" spans="9:10" s="5" customFormat="1" ht="12.75">
      <c r="I2033" s="4"/>
      <c r="J2033" s="4"/>
    </row>
    <row r="2034" spans="9:10" s="5" customFormat="1" ht="12.75">
      <c r="I2034" s="4"/>
      <c r="J2034" s="4"/>
    </row>
    <row r="2035" spans="9:10" s="5" customFormat="1" ht="12.75">
      <c r="I2035" s="4"/>
      <c r="J2035" s="4"/>
    </row>
    <row r="2036" spans="9:10" s="5" customFormat="1" ht="12.75">
      <c r="I2036" s="4"/>
      <c r="J2036" s="4"/>
    </row>
    <row r="2037" spans="9:10" s="5" customFormat="1" ht="12.75">
      <c r="I2037" s="4"/>
      <c r="J2037" s="4"/>
    </row>
    <row r="2038" spans="9:10" s="5" customFormat="1" ht="12.75">
      <c r="I2038" s="4"/>
      <c r="J2038" s="4"/>
    </row>
    <row r="2039" spans="9:10" s="5" customFormat="1" ht="12.75">
      <c r="I2039" s="4"/>
      <c r="J2039" s="4"/>
    </row>
    <row r="2040" spans="9:10" s="5" customFormat="1" ht="12.75">
      <c r="I2040" s="4"/>
      <c r="J2040" s="4"/>
    </row>
    <row r="2041" spans="9:10" s="5" customFormat="1" ht="12.75">
      <c r="I2041" s="4"/>
      <c r="J2041" s="4"/>
    </row>
    <row r="2042" spans="9:10" s="5" customFormat="1" ht="12.75">
      <c r="I2042" s="4"/>
      <c r="J2042" s="4"/>
    </row>
    <row r="2043" spans="9:10" s="5" customFormat="1" ht="12.75">
      <c r="I2043" s="4"/>
      <c r="J2043" s="4"/>
    </row>
    <row r="2044" spans="9:10" s="5" customFormat="1" ht="12.75">
      <c r="I2044" s="4"/>
      <c r="J2044" s="4"/>
    </row>
    <row r="2045" spans="9:10" s="5" customFormat="1" ht="12.75">
      <c r="I2045" s="4"/>
      <c r="J2045" s="4"/>
    </row>
    <row r="2046" spans="9:10" s="5" customFormat="1" ht="12.75">
      <c r="I2046" s="4"/>
      <c r="J2046" s="4"/>
    </row>
    <row r="2047" spans="9:10" s="5" customFormat="1" ht="12.75">
      <c r="I2047" s="4"/>
      <c r="J2047" s="4"/>
    </row>
    <row r="2048" spans="9:10" s="5" customFormat="1" ht="12.75">
      <c r="I2048" s="4"/>
      <c r="J2048" s="4"/>
    </row>
    <row r="2049" spans="9:10" s="5" customFormat="1" ht="12.75">
      <c r="I2049" s="4"/>
      <c r="J2049" s="4"/>
    </row>
    <row r="2050" spans="9:10" s="5" customFormat="1" ht="12.75">
      <c r="I2050" s="4"/>
      <c r="J2050" s="4"/>
    </row>
    <row r="2051" spans="9:10" s="5" customFormat="1" ht="12.75">
      <c r="I2051" s="4"/>
      <c r="J2051" s="4"/>
    </row>
    <row r="2052" spans="9:10" s="5" customFormat="1" ht="12.75">
      <c r="I2052" s="4"/>
      <c r="J2052" s="4"/>
    </row>
    <row r="2053" spans="9:10" s="5" customFormat="1" ht="12.75">
      <c r="I2053" s="4"/>
      <c r="J2053" s="4"/>
    </row>
    <row r="2054" spans="9:10" s="5" customFormat="1" ht="12.75">
      <c r="I2054" s="4"/>
      <c r="J2054" s="4"/>
    </row>
    <row r="2055" spans="9:10" s="5" customFormat="1" ht="12.75">
      <c r="I2055" s="4"/>
      <c r="J2055" s="4"/>
    </row>
    <row r="2056" spans="9:10" s="5" customFormat="1" ht="12.75">
      <c r="I2056" s="4"/>
      <c r="J2056" s="4"/>
    </row>
    <row r="2057" spans="9:10" s="5" customFormat="1" ht="12.75">
      <c r="I2057" s="4"/>
      <c r="J2057" s="4"/>
    </row>
    <row r="2058" spans="9:10" s="5" customFormat="1" ht="12.75">
      <c r="I2058" s="4"/>
      <c r="J2058" s="4"/>
    </row>
    <row r="2059" spans="9:10" s="5" customFormat="1" ht="12.75">
      <c r="I2059" s="4"/>
      <c r="J2059" s="4"/>
    </row>
    <row r="2060" spans="9:10" s="5" customFormat="1" ht="12.75">
      <c r="I2060" s="4"/>
      <c r="J2060" s="4"/>
    </row>
    <row r="2061" spans="9:10" s="5" customFormat="1" ht="12.75">
      <c r="I2061" s="4"/>
      <c r="J2061" s="4"/>
    </row>
    <row r="2062" spans="9:10" s="5" customFormat="1" ht="12.75">
      <c r="I2062" s="4"/>
      <c r="J2062" s="4"/>
    </row>
    <row r="2063" spans="9:10" s="5" customFormat="1" ht="12.75">
      <c r="I2063" s="4"/>
      <c r="J2063" s="4"/>
    </row>
    <row r="2064" spans="9:10" s="5" customFormat="1" ht="12.75">
      <c r="I2064" s="4"/>
      <c r="J2064" s="4"/>
    </row>
    <row r="2065" spans="9:10" s="5" customFormat="1" ht="12.75">
      <c r="I2065" s="4"/>
      <c r="J2065" s="4"/>
    </row>
    <row r="2066" spans="9:10" s="5" customFormat="1" ht="12.75">
      <c r="I2066" s="4"/>
      <c r="J2066" s="4"/>
    </row>
    <row r="2067" spans="9:10" s="5" customFormat="1" ht="12.75">
      <c r="I2067" s="4"/>
      <c r="J2067" s="4"/>
    </row>
    <row r="2068" spans="9:10" s="5" customFormat="1" ht="12.75">
      <c r="I2068" s="4"/>
      <c r="J2068" s="4"/>
    </row>
    <row r="2069" spans="9:10" s="5" customFormat="1" ht="12.75">
      <c r="I2069" s="4"/>
      <c r="J2069" s="4"/>
    </row>
    <row r="2070" spans="9:10" s="5" customFormat="1" ht="12.75">
      <c r="I2070" s="4"/>
      <c r="J2070" s="4"/>
    </row>
    <row r="2071" spans="9:10" s="5" customFormat="1" ht="12.75">
      <c r="I2071" s="4"/>
      <c r="J2071" s="4"/>
    </row>
    <row r="2072" spans="9:10" s="5" customFormat="1" ht="12.75">
      <c r="I2072" s="4"/>
      <c r="J2072" s="4"/>
    </row>
    <row r="2073" spans="9:10" s="5" customFormat="1" ht="12.75">
      <c r="I2073" s="4"/>
      <c r="J2073" s="4"/>
    </row>
    <row r="2074" spans="9:10" s="5" customFormat="1" ht="12.75">
      <c r="I2074" s="4"/>
      <c r="J2074" s="4"/>
    </row>
    <row r="2075" spans="9:10" s="5" customFormat="1" ht="12.75">
      <c r="I2075" s="4"/>
      <c r="J2075" s="4"/>
    </row>
    <row r="2076" spans="9:10" s="5" customFormat="1" ht="12.75">
      <c r="I2076" s="4"/>
      <c r="J2076" s="4"/>
    </row>
    <row r="2077" spans="9:10" s="5" customFormat="1" ht="12.75">
      <c r="I2077" s="4"/>
      <c r="J2077" s="4"/>
    </row>
    <row r="2078" spans="9:10" s="5" customFormat="1" ht="12.75">
      <c r="I2078" s="4"/>
      <c r="J2078" s="4"/>
    </row>
    <row r="2079" spans="9:10" s="5" customFormat="1" ht="12.75">
      <c r="I2079" s="4"/>
      <c r="J2079" s="4"/>
    </row>
    <row r="2080" spans="9:10" s="5" customFormat="1" ht="12.75">
      <c r="I2080" s="4"/>
      <c r="J2080" s="4"/>
    </row>
    <row r="2081" spans="9:10" s="5" customFormat="1" ht="12.75">
      <c r="I2081" s="4"/>
      <c r="J2081" s="4"/>
    </row>
    <row r="2082" spans="9:10" s="5" customFormat="1" ht="12.75">
      <c r="I2082" s="4"/>
      <c r="J2082" s="4"/>
    </row>
    <row r="2083" spans="9:10" s="5" customFormat="1" ht="12.75">
      <c r="I2083" s="4"/>
      <c r="J2083" s="4"/>
    </row>
    <row r="2084" spans="9:10" s="5" customFormat="1" ht="12.75">
      <c r="I2084" s="4"/>
      <c r="J2084" s="4"/>
    </row>
    <row r="2085" spans="9:10" s="5" customFormat="1" ht="12.75">
      <c r="I2085" s="4"/>
      <c r="J2085" s="4"/>
    </row>
    <row r="2086" spans="9:10" s="5" customFormat="1" ht="12.75">
      <c r="I2086" s="4"/>
      <c r="J2086" s="4"/>
    </row>
    <row r="2087" spans="9:10" s="5" customFormat="1" ht="12.75">
      <c r="I2087" s="4"/>
      <c r="J2087" s="4"/>
    </row>
    <row r="2088" spans="9:10" s="5" customFormat="1" ht="12.75">
      <c r="I2088" s="4"/>
      <c r="J2088" s="4"/>
    </row>
    <row r="2089" spans="9:10" s="5" customFormat="1" ht="12.75">
      <c r="I2089" s="4"/>
      <c r="J2089" s="4"/>
    </row>
    <row r="2090" spans="9:10" s="5" customFormat="1" ht="12.75">
      <c r="I2090" s="4"/>
      <c r="J2090" s="4"/>
    </row>
    <row r="2091" spans="9:10" s="5" customFormat="1" ht="12.75">
      <c r="I2091" s="4"/>
      <c r="J2091" s="4"/>
    </row>
    <row r="2092" spans="9:10" s="5" customFormat="1" ht="12.75">
      <c r="I2092" s="4"/>
      <c r="J2092" s="4"/>
    </row>
    <row r="2093" spans="9:10" s="5" customFormat="1" ht="12.75">
      <c r="I2093" s="4"/>
      <c r="J2093" s="4"/>
    </row>
    <row r="2094" spans="9:10" s="5" customFormat="1" ht="12.75">
      <c r="I2094" s="4"/>
      <c r="J2094" s="4"/>
    </row>
    <row r="2095" spans="9:10" s="5" customFormat="1" ht="12.75">
      <c r="I2095" s="4"/>
      <c r="J2095" s="4"/>
    </row>
    <row r="2096" spans="9:10" s="5" customFormat="1" ht="12.75">
      <c r="I2096" s="4"/>
      <c r="J2096" s="4"/>
    </row>
    <row r="2097" spans="9:10" s="5" customFormat="1" ht="12.75">
      <c r="I2097" s="4"/>
      <c r="J2097" s="4"/>
    </row>
    <row r="2098" spans="9:10" s="5" customFormat="1" ht="12.75">
      <c r="I2098" s="4"/>
      <c r="J2098" s="4"/>
    </row>
    <row r="2099" spans="9:10" s="5" customFormat="1" ht="12.75">
      <c r="I2099" s="4"/>
      <c r="J2099" s="4"/>
    </row>
    <row r="2100" spans="9:10" s="5" customFormat="1" ht="12.75">
      <c r="I2100" s="4"/>
      <c r="J2100" s="4"/>
    </row>
    <row r="2101" spans="9:10" s="5" customFormat="1" ht="12.75">
      <c r="I2101" s="4"/>
      <c r="J2101" s="4"/>
    </row>
    <row r="2102" spans="9:10" s="5" customFormat="1" ht="12.75">
      <c r="I2102" s="4"/>
      <c r="J2102" s="4"/>
    </row>
    <row r="2103" spans="9:10" s="5" customFormat="1" ht="12.75">
      <c r="I2103" s="4"/>
      <c r="J2103" s="4"/>
    </row>
    <row r="2104" spans="9:10" s="5" customFormat="1" ht="12.75">
      <c r="I2104" s="4"/>
      <c r="J2104" s="4"/>
    </row>
    <row r="2105" spans="9:10" s="5" customFormat="1" ht="12.75">
      <c r="I2105" s="4"/>
      <c r="J2105" s="4"/>
    </row>
    <row r="2106" spans="9:10" s="5" customFormat="1" ht="12.75">
      <c r="I2106" s="4"/>
      <c r="J2106" s="4"/>
    </row>
    <row r="2107" spans="9:10" s="5" customFormat="1" ht="12.75">
      <c r="I2107" s="4"/>
      <c r="J2107" s="4"/>
    </row>
    <row r="2108" spans="9:10" s="5" customFormat="1" ht="12.75">
      <c r="I2108" s="4"/>
      <c r="J2108" s="4"/>
    </row>
    <row r="2109" spans="9:10" s="5" customFormat="1" ht="12.75">
      <c r="I2109" s="4"/>
      <c r="J2109" s="4"/>
    </row>
    <row r="2110" spans="9:10" s="5" customFormat="1" ht="12.75">
      <c r="I2110" s="4"/>
      <c r="J2110" s="4"/>
    </row>
    <row r="2111" spans="9:10" s="5" customFormat="1" ht="12.75">
      <c r="I2111" s="4"/>
      <c r="J2111" s="4"/>
    </row>
    <row r="2112" spans="9:10" s="5" customFormat="1" ht="12.75">
      <c r="I2112" s="4"/>
      <c r="J2112" s="4"/>
    </row>
    <row r="2113" spans="9:10" s="5" customFormat="1" ht="12.75">
      <c r="I2113" s="4"/>
      <c r="J2113" s="4"/>
    </row>
    <row r="2114" spans="9:10" s="5" customFormat="1" ht="12.75">
      <c r="I2114" s="4"/>
      <c r="J2114" s="4"/>
    </row>
    <row r="2115" spans="9:10" s="5" customFormat="1" ht="12.75">
      <c r="I2115" s="4"/>
      <c r="J2115" s="4"/>
    </row>
    <row r="2116" spans="9:10" s="5" customFormat="1" ht="12.75">
      <c r="I2116" s="4"/>
      <c r="J2116" s="4"/>
    </row>
    <row r="2117" spans="9:10" s="5" customFormat="1" ht="12.75">
      <c r="I2117" s="4"/>
      <c r="J2117" s="4"/>
    </row>
    <row r="2118" spans="9:10" s="5" customFormat="1" ht="12.75">
      <c r="I2118" s="4"/>
      <c r="J2118" s="4"/>
    </row>
    <row r="2119" spans="9:10" s="5" customFormat="1" ht="12.75">
      <c r="I2119" s="4"/>
      <c r="J2119" s="4"/>
    </row>
    <row r="2120" spans="9:10" s="5" customFormat="1" ht="12.75">
      <c r="I2120" s="4"/>
      <c r="J2120" s="4"/>
    </row>
    <row r="2121" spans="9:10" s="5" customFormat="1" ht="12.75">
      <c r="I2121" s="4"/>
      <c r="J2121" s="4"/>
    </row>
    <row r="2122" spans="9:10" s="5" customFormat="1" ht="12.75">
      <c r="I2122" s="4"/>
      <c r="J2122" s="4"/>
    </row>
    <row r="2123" spans="9:10" s="5" customFormat="1" ht="12.75">
      <c r="I2123" s="4"/>
      <c r="J2123" s="4"/>
    </row>
    <row r="2124" spans="9:10" s="5" customFormat="1" ht="12.75">
      <c r="I2124" s="4"/>
      <c r="J2124" s="4"/>
    </row>
    <row r="2125" spans="9:10" s="5" customFormat="1" ht="12.75">
      <c r="I2125" s="4"/>
      <c r="J2125" s="4"/>
    </row>
    <row r="2126" spans="9:10" s="5" customFormat="1" ht="12.75">
      <c r="I2126" s="4"/>
      <c r="J2126" s="4"/>
    </row>
    <row r="2127" spans="9:10" s="5" customFormat="1" ht="12.75">
      <c r="I2127" s="4"/>
      <c r="J2127" s="4"/>
    </row>
    <row r="2128" spans="9:10" s="5" customFormat="1" ht="12.75">
      <c r="I2128" s="4"/>
      <c r="J2128" s="4"/>
    </row>
    <row r="2129" spans="9:10" s="5" customFormat="1" ht="12.75">
      <c r="I2129" s="4"/>
      <c r="J2129" s="4"/>
    </row>
    <row r="2130" spans="9:10" s="5" customFormat="1" ht="12.75">
      <c r="I2130" s="4"/>
      <c r="J2130" s="4"/>
    </row>
    <row r="2131" spans="9:10" s="5" customFormat="1" ht="12.75">
      <c r="I2131" s="4"/>
      <c r="J2131" s="4"/>
    </row>
    <row r="2132" spans="9:10" s="5" customFormat="1" ht="12.75">
      <c r="I2132" s="4"/>
      <c r="J2132" s="4"/>
    </row>
    <row r="2133" spans="9:10" s="5" customFormat="1" ht="12.75">
      <c r="I2133" s="4"/>
      <c r="J2133" s="4"/>
    </row>
    <row r="2134" spans="9:10" s="5" customFormat="1" ht="12.75">
      <c r="I2134" s="4"/>
      <c r="J2134" s="4"/>
    </row>
    <row r="2135" spans="9:10" s="5" customFormat="1" ht="12.75">
      <c r="I2135" s="4"/>
      <c r="J2135" s="4"/>
    </row>
    <row r="2136" spans="9:10" s="5" customFormat="1" ht="12.75">
      <c r="I2136" s="4"/>
      <c r="J2136" s="4"/>
    </row>
    <row r="2137" spans="9:10" s="5" customFormat="1" ht="12.75">
      <c r="I2137" s="4"/>
      <c r="J2137" s="4"/>
    </row>
    <row r="2138" spans="9:10" s="5" customFormat="1" ht="12.75">
      <c r="I2138" s="4"/>
      <c r="J2138" s="4"/>
    </row>
    <row r="2139" spans="9:10" s="5" customFormat="1" ht="12.75">
      <c r="I2139" s="4"/>
      <c r="J2139" s="4"/>
    </row>
    <row r="2140" spans="9:10" s="5" customFormat="1" ht="12.75">
      <c r="I2140" s="4"/>
      <c r="J2140" s="4"/>
    </row>
    <row r="2141" spans="9:10" s="5" customFormat="1" ht="12.75">
      <c r="I2141" s="4"/>
      <c r="J2141" s="4"/>
    </row>
    <row r="2142" spans="9:10" s="5" customFormat="1" ht="12.75">
      <c r="I2142" s="4"/>
      <c r="J2142" s="4"/>
    </row>
    <row r="2143" spans="9:10" s="5" customFormat="1" ht="12.75">
      <c r="I2143" s="4"/>
      <c r="J2143" s="4"/>
    </row>
    <row r="2144" spans="9:10" s="5" customFormat="1" ht="12.75">
      <c r="I2144" s="4"/>
      <c r="J2144" s="4"/>
    </row>
    <row r="2145" spans="9:10" s="5" customFormat="1" ht="12.75">
      <c r="I2145" s="4"/>
      <c r="J2145" s="4"/>
    </row>
    <row r="2146" spans="9:10" s="5" customFormat="1" ht="12.75">
      <c r="I2146" s="4"/>
      <c r="J2146" s="4"/>
    </row>
    <row r="2147" spans="9:10" s="5" customFormat="1" ht="12.75">
      <c r="I2147" s="4"/>
      <c r="J2147" s="4"/>
    </row>
    <row r="2148" spans="9:10" s="5" customFormat="1" ht="12.75">
      <c r="I2148" s="4"/>
      <c r="J2148" s="4"/>
    </row>
    <row r="2149" spans="9:10" s="5" customFormat="1" ht="12.75">
      <c r="I2149" s="4"/>
      <c r="J2149" s="4"/>
    </row>
    <row r="2150" spans="9:10" s="5" customFormat="1" ht="12.75">
      <c r="I2150" s="4"/>
      <c r="J2150" s="4"/>
    </row>
    <row r="2151" spans="9:10" s="5" customFormat="1" ht="12.75">
      <c r="I2151" s="4"/>
      <c r="J2151" s="4"/>
    </row>
    <row r="2152" spans="9:10" s="5" customFormat="1" ht="12.75">
      <c r="I2152" s="4"/>
      <c r="J2152" s="4"/>
    </row>
    <row r="2153" spans="9:10" s="5" customFormat="1" ht="12.75">
      <c r="I2153" s="4"/>
      <c r="J2153" s="4"/>
    </row>
    <row r="2154" spans="9:10" s="5" customFormat="1" ht="12.75">
      <c r="I2154" s="4"/>
      <c r="J2154" s="4"/>
    </row>
    <row r="2155" spans="9:10" s="5" customFormat="1" ht="12.75">
      <c r="I2155" s="4"/>
      <c r="J2155" s="4"/>
    </row>
    <row r="2156" spans="9:10" s="5" customFormat="1" ht="12.75">
      <c r="I2156" s="4"/>
      <c r="J2156" s="4"/>
    </row>
    <row r="2157" spans="9:10" s="5" customFormat="1" ht="12.75">
      <c r="I2157" s="4"/>
      <c r="J2157" s="4"/>
    </row>
    <row r="2158" spans="9:10" s="5" customFormat="1" ht="12.75">
      <c r="I2158" s="4"/>
      <c r="J2158" s="4"/>
    </row>
    <row r="2159" spans="9:10" s="5" customFormat="1" ht="12.75">
      <c r="I2159" s="4"/>
      <c r="J2159" s="4"/>
    </row>
    <row r="2160" spans="9:10" s="5" customFormat="1" ht="12.75">
      <c r="I2160" s="4"/>
      <c r="J2160" s="4"/>
    </row>
    <row r="2161" spans="9:10" s="5" customFormat="1" ht="12.75">
      <c r="I2161" s="4"/>
      <c r="J2161" s="4"/>
    </row>
    <row r="2162" spans="9:10" s="5" customFormat="1" ht="12.75">
      <c r="I2162" s="4"/>
      <c r="J2162" s="4"/>
    </row>
    <row r="2163" spans="9:10" s="5" customFormat="1" ht="12.75">
      <c r="I2163" s="4"/>
      <c r="J2163" s="4"/>
    </row>
    <row r="2164" spans="9:10" s="5" customFormat="1" ht="12.75">
      <c r="I2164" s="4"/>
      <c r="J2164" s="4"/>
    </row>
    <row r="2165" spans="9:10" s="5" customFormat="1" ht="12.75">
      <c r="I2165" s="4"/>
      <c r="J2165" s="4"/>
    </row>
    <row r="2166" spans="9:10" s="5" customFormat="1" ht="12.75">
      <c r="I2166" s="4"/>
      <c r="J2166" s="4"/>
    </row>
    <row r="2167" spans="9:10" s="5" customFormat="1" ht="12.75">
      <c r="I2167" s="4"/>
      <c r="J2167" s="4"/>
    </row>
    <row r="2168" spans="9:10" s="5" customFormat="1" ht="12.75">
      <c r="I2168" s="4"/>
      <c r="J2168" s="4"/>
    </row>
    <row r="2169" spans="9:10" s="5" customFormat="1" ht="12.75">
      <c r="I2169" s="4"/>
      <c r="J2169" s="4"/>
    </row>
    <row r="2170" spans="9:10" s="5" customFormat="1" ht="12.75">
      <c r="I2170" s="4"/>
      <c r="J2170" s="4"/>
    </row>
    <row r="2171" spans="9:10" s="5" customFormat="1" ht="12.75">
      <c r="I2171" s="4"/>
      <c r="J2171" s="4"/>
    </row>
    <row r="2172" spans="9:10" s="5" customFormat="1" ht="12.75">
      <c r="I2172" s="4"/>
      <c r="J2172" s="4"/>
    </row>
    <row r="2173" spans="9:10" s="5" customFormat="1" ht="12.75">
      <c r="I2173" s="4"/>
      <c r="J2173" s="4"/>
    </row>
    <row r="2174" spans="9:10" s="5" customFormat="1" ht="12.75">
      <c r="I2174" s="4"/>
      <c r="J2174" s="4"/>
    </row>
    <row r="2175" spans="9:10" s="5" customFormat="1" ht="12.75">
      <c r="I2175" s="4"/>
      <c r="J2175" s="4"/>
    </row>
    <row r="2176" spans="9:10" s="5" customFormat="1" ht="12.75">
      <c r="I2176" s="4"/>
      <c r="J2176" s="4"/>
    </row>
    <row r="2177" spans="9:10" s="5" customFormat="1" ht="12.75">
      <c r="I2177" s="4"/>
      <c r="J2177" s="4"/>
    </row>
    <row r="2178" spans="9:10" s="5" customFormat="1" ht="12.75">
      <c r="I2178" s="4"/>
      <c r="J2178" s="4"/>
    </row>
    <row r="2179" spans="9:10" s="5" customFormat="1" ht="12.75">
      <c r="I2179" s="4"/>
      <c r="J2179" s="4"/>
    </row>
    <row r="2180" spans="9:10" s="5" customFormat="1" ht="12.75">
      <c r="I2180" s="4"/>
      <c r="J2180" s="4"/>
    </row>
    <row r="2181" spans="9:10" s="5" customFormat="1" ht="12.75">
      <c r="I2181" s="4"/>
      <c r="J2181" s="4"/>
    </row>
    <row r="2182" spans="9:10" s="5" customFormat="1" ht="12.75">
      <c r="I2182" s="4"/>
      <c r="J2182" s="4"/>
    </row>
    <row r="2183" spans="9:10" s="5" customFormat="1" ht="12.75">
      <c r="I2183" s="4"/>
      <c r="J2183" s="4"/>
    </row>
    <row r="2184" spans="9:10" s="5" customFormat="1" ht="12.75">
      <c r="I2184" s="4"/>
      <c r="J2184" s="4"/>
    </row>
    <row r="2185" spans="9:10" s="5" customFormat="1" ht="12.75">
      <c r="I2185" s="4"/>
      <c r="J2185" s="4"/>
    </row>
    <row r="2186" spans="9:10" s="5" customFormat="1" ht="12.75">
      <c r="I2186" s="4"/>
      <c r="J2186" s="4"/>
    </row>
    <row r="2187" spans="9:10" s="5" customFormat="1" ht="12.75">
      <c r="I2187" s="4"/>
      <c r="J2187" s="4"/>
    </row>
    <row r="2188" spans="9:10" s="5" customFormat="1" ht="12.75">
      <c r="I2188" s="4"/>
      <c r="J2188" s="4"/>
    </row>
    <row r="2189" spans="9:10" s="5" customFormat="1" ht="12.75">
      <c r="I2189" s="4"/>
      <c r="J2189" s="4"/>
    </row>
    <row r="2190" spans="9:10" s="5" customFormat="1" ht="12.75">
      <c r="I2190" s="4"/>
      <c r="J2190" s="4"/>
    </row>
    <row r="2191" spans="9:10" s="5" customFormat="1" ht="12.75">
      <c r="I2191" s="4"/>
      <c r="J2191" s="4"/>
    </row>
    <row r="2192" spans="9:10" s="5" customFormat="1" ht="12.75">
      <c r="I2192" s="4"/>
      <c r="J2192" s="4"/>
    </row>
    <row r="2193" spans="9:10" s="5" customFormat="1" ht="12.75">
      <c r="I2193" s="4"/>
      <c r="J2193" s="4"/>
    </row>
    <row r="2194" spans="9:10" s="5" customFormat="1" ht="12.75">
      <c r="I2194" s="4"/>
      <c r="J2194" s="4"/>
    </row>
    <row r="2195" spans="9:10" s="5" customFormat="1" ht="12.75">
      <c r="I2195" s="4"/>
      <c r="J2195" s="4"/>
    </row>
    <row r="2196" spans="9:10" s="5" customFormat="1" ht="12.75">
      <c r="I2196" s="4"/>
      <c r="J2196" s="4"/>
    </row>
    <row r="2197" spans="9:10" s="5" customFormat="1" ht="12.75">
      <c r="I2197" s="4"/>
      <c r="J2197" s="4"/>
    </row>
    <row r="2198" spans="9:10" s="5" customFormat="1" ht="12.75">
      <c r="I2198" s="4"/>
      <c r="J2198" s="4"/>
    </row>
    <row r="2199" spans="9:10" s="5" customFormat="1" ht="12.75">
      <c r="I2199" s="4"/>
      <c r="J2199" s="4"/>
    </row>
    <row r="2200" spans="9:10" s="5" customFormat="1" ht="12.75">
      <c r="I2200" s="4"/>
      <c r="J2200" s="4"/>
    </row>
    <row r="2201" spans="9:10" s="5" customFormat="1" ht="12.75">
      <c r="I2201" s="4"/>
      <c r="J2201" s="4"/>
    </row>
    <row r="2202" spans="9:10" s="5" customFormat="1" ht="12.75">
      <c r="I2202" s="4"/>
      <c r="J2202" s="4"/>
    </row>
    <row r="2203" spans="9:10" s="5" customFormat="1" ht="12.75">
      <c r="I2203" s="4"/>
      <c r="J2203" s="4"/>
    </row>
    <row r="2204" spans="9:10" s="5" customFormat="1" ht="12.75">
      <c r="I2204" s="4"/>
      <c r="J2204" s="4"/>
    </row>
    <row r="2205" spans="9:10" s="5" customFormat="1" ht="12.75">
      <c r="I2205" s="4"/>
      <c r="J2205" s="4"/>
    </row>
    <row r="2206" spans="9:10" s="5" customFormat="1" ht="12.75">
      <c r="I2206" s="4"/>
      <c r="J2206" s="4"/>
    </row>
    <row r="2207" spans="9:10" s="5" customFormat="1" ht="12.75">
      <c r="I2207" s="4"/>
      <c r="J2207" s="4"/>
    </row>
    <row r="2208" spans="9:10" s="5" customFormat="1" ht="12.75">
      <c r="I2208" s="4"/>
      <c r="J2208" s="4"/>
    </row>
    <row r="2209" spans="9:10" s="5" customFormat="1" ht="12.75">
      <c r="I2209" s="4"/>
      <c r="J2209" s="4"/>
    </row>
    <row r="2210" spans="9:10" s="5" customFormat="1" ht="12.75">
      <c r="I2210" s="4"/>
      <c r="J2210" s="4"/>
    </row>
    <row r="2211" spans="9:10" s="5" customFormat="1" ht="12.75">
      <c r="I2211" s="4"/>
      <c r="J2211" s="4"/>
    </row>
    <row r="2212" spans="9:10" s="5" customFormat="1" ht="12.75">
      <c r="I2212" s="4"/>
      <c r="J2212" s="4"/>
    </row>
    <row r="2213" spans="9:10" s="5" customFormat="1" ht="12.75">
      <c r="I2213" s="4"/>
      <c r="J2213" s="4"/>
    </row>
    <row r="2214" spans="9:10" s="5" customFormat="1" ht="12.75">
      <c r="I2214" s="4"/>
      <c r="J2214" s="4"/>
    </row>
    <row r="2215" spans="9:10" s="5" customFormat="1" ht="12.75">
      <c r="I2215" s="4"/>
      <c r="J2215" s="4"/>
    </row>
    <row r="2216" spans="9:10" s="5" customFormat="1" ht="12.75">
      <c r="I2216" s="4"/>
      <c r="J2216" s="4"/>
    </row>
    <row r="2217" spans="9:10" s="5" customFormat="1" ht="12.75">
      <c r="I2217" s="4"/>
      <c r="J2217" s="4"/>
    </row>
    <row r="2218" spans="9:10" s="5" customFormat="1" ht="12.75">
      <c r="I2218" s="4"/>
      <c r="J2218" s="4"/>
    </row>
    <row r="2219" spans="9:10" s="5" customFormat="1" ht="12.75">
      <c r="I2219" s="4"/>
      <c r="J2219" s="4"/>
    </row>
    <row r="2220" spans="9:10" s="5" customFormat="1" ht="12.75">
      <c r="I2220" s="4"/>
      <c r="J2220" s="4"/>
    </row>
    <row r="2221" spans="9:10" s="5" customFormat="1" ht="12.75">
      <c r="I2221" s="4"/>
      <c r="J2221" s="4"/>
    </row>
    <row r="2222" spans="9:10" s="5" customFormat="1" ht="12.75">
      <c r="I2222" s="4"/>
      <c r="J2222" s="4"/>
    </row>
    <row r="2223" spans="9:10" s="5" customFormat="1" ht="12.75">
      <c r="I2223" s="4"/>
      <c r="J2223" s="4"/>
    </row>
    <row r="2224" spans="9:10" s="5" customFormat="1" ht="12.75">
      <c r="I2224" s="4"/>
      <c r="J2224" s="4"/>
    </row>
    <row r="2225" spans="9:10" s="5" customFormat="1" ht="12.75">
      <c r="I2225" s="4"/>
      <c r="J2225" s="4"/>
    </row>
    <row r="2226" spans="9:10" s="5" customFormat="1" ht="12.75">
      <c r="I2226" s="4"/>
      <c r="J2226" s="4"/>
    </row>
    <row r="2227" spans="9:10" s="5" customFormat="1" ht="12.75">
      <c r="I2227" s="4"/>
      <c r="J2227" s="4"/>
    </row>
    <row r="2228" spans="9:10" s="5" customFormat="1" ht="12.75">
      <c r="I2228" s="4"/>
      <c r="J2228" s="4"/>
    </row>
    <row r="2229" spans="9:10" s="5" customFormat="1" ht="12.75">
      <c r="I2229" s="4"/>
      <c r="J2229" s="4"/>
    </row>
    <row r="2230" spans="9:10" s="5" customFormat="1" ht="12.75">
      <c r="I2230" s="4"/>
      <c r="J2230" s="4"/>
    </row>
    <row r="2231" spans="9:10" s="5" customFormat="1" ht="12.75">
      <c r="I2231" s="4"/>
      <c r="J2231" s="4"/>
    </row>
    <row r="2232" spans="9:10" s="5" customFormat="1" ht="12.75">
      <c r="I2232" s="4"/>
      <c r="J2232" s="4"/>
    </row>
    <row r="2233" spans="9:10" s="5" customFormat="1" ht="12.75">
      <c r="I2233" s="4"/>
      <c r="J2233" s="4"/>
    </row>
    <row r="2234" spans="9:10" s="5" customFormat="1" ht="12.75">
      <c r="I2234" s="4"/>
      <c r="J2234" s="4"/>
    </row>
    <row r="2235" spans="9:10" s="5" customFormat="1" ht="12.75">
      <c r="I2235" s="4"/>
      <c r="J2235" s="4"/>
    </row>
    <row r="2236" spans="9:10" s="5" customFormat="1" ht="12.75">
      <c r="I2236" s="4"/>
      <c r="J2236" s="4"/>
    </row>
    <row r="2237" spans="9:10" s="5" customFormat="1" ht="12.75">
      <c r="I2237" s="4"/>
      <c r="J2237" s="4"/>
    </row>
    <row r="2238" spans="9:10" s="5" customFormat="1" ht="12.75">
      <c r="I2238" s="4"/>
      <c r="J2238" s="4"/>
    </row>
    <row r="2239" spans="9:10" s="5" customFormat="1" ht="12.75">
      <c r="I2239" s="4"/>
      <c r="J2239" s="4"/>
    </row>
    <row r="2240" spans="9:10" s="5" customFormat="1" ht="12.75">
      <c r="I2240" s="4"/>
      <c r="J2240" s="4"/>
    </row>
    <row r="2241" spans="9:10" s="5" customFormat="1" ht="12.75">
      <c r="I2241" s="4"/>
      <c r="J2241" s="4"/>
    </row>
    <row r="2242" spans="9:10" s="5" customFormat="1" ht="12.75">
      <c r="I2242" s="4"/>
      <c r="J2242" s="4"/>
    </row>
    <row r="2243" spans="9:10" s="5" customFormat="1" ht="12.75">
      <c r="I2243" s="4"/>
      <c r="J2243" s="4"/>
    </row>
    <row r="2244" spans="9:10" s="5" customFormat="1" ht="12.75">
      <c r="I2244" s="4"/>
      <c r="J2244" s="4"/>
    </row>
    <row r="2245" spans="9:10" s="5" customFormat="1" ht="12.75">
      <c r="I2245" s="4"/>
      <c r="J2245" s="4"/>
    </row>
    <row r="2246" spans="9:10" s="5" customFormat="1" ht="12.75">
      <c r="I2246" s="4"/>
      <c r="J2246" s="4"/>
    </row>
    <row r="2247" spans="9:10" s="5" customFormat="1" ht="12.75">
      <c r="I2247" s="4"/>
      <c r="J2247" s="4"/>
    </row>
    <row r="2248" spans="9:10" s="5" customFormat="1" ht="12.75">
      <c r="I2248" s="4"/>
      <c r="J2248" s="4"/>
    </row>
    <row r="2249" spans="9:10" s="5" customFormat="1" ht="12.75">
      <c r="I2249" s="4"/>
      <c r="J2249" s="4"/>
    </row>
    <row r="2250" spans="9:10" s="5" customFormat="1" ht="12.75">
      <c r="I2250" s="4"/>
      <c r="J2250" s="4"/>
    </row>
    <row r="2251" spans="9:10" s="5" customFormat="1" ht="12.75">
      <c r="I2251" s="4"/>
      <c r="J2251" s="4"/>
    </row>
    <row r="2252" spans="9:10" s="5" customFormat="1" ht="12.75">
      <c r="I2252" s="4"/>
      <c r="J2252" s="4"/>
    </row>
    <row r="2253" spans="9:10" s="5" customFormat="1" ht="12.75">
      <c r="I2253" s="4"/>
      <c r="J2253" s="4"/>
    </row>
    <row r="2254" spans="9:10" s="5" customFormat="1" ht="12.75">
      <c r="I2254" s="4"/>
      <c r="J2254" s="4"/>
    </row>
    <row r="2255" spans="9:10" s="5" customFormat="1" ht="12.75">
      <c r="I2255" s="4"/>
      <c r="J2255" s="4"/>
    </row>
    <row r="2256" spans="9:10" s="5" customFormat="1" ht="12.75">
      <c r="I2256" s="4"/>
      <c r="J2256" s="4"/>
    </row>
    <row r="2257" spans="9:10" s="5" customFormat="1" ht="12.75">
      <c r="I2257" s="4"/>
      <c r="J2257" s="4"/>
    </row>
    <row r="2258" spans="9:10" s="5" customFormat="1" ht="12.75">
      <c r="I2258" s="4"/>
      <c r="J2258" s="4"/>
    </row>
    <row r="2259" spans="9:10" s="5" customFormat="1" ht="12.75">
      <c r="I2259" s="4"/>
      <c r="J2259" s="4"/>
    </row>
    <row r="2260" spans="9:10" s="5" customFormat="1" ht="12.75">
      <c r="I2260" s="4"/>
      <c r="J2260" s="4"/>
    </row>
    <row r="2261" spans="9:10" s="5" customFormat="1" ht="12.75">
      <c r="I2261" s="4"/>
      <c r="J2261" s="4"/>
    </row>
    <row r="2262" spans="9:10" s="5" customFormat="1" ht="12.75">
      <c r="I2262" s="4"/>
      <c r="J2262" s="4"/>
    </row>
    <row r="2263" spans="9:10" s="5" customFormat="1" ht="12.75">
      <c r="I2263" s="4"/>
      <c r="J2263" s="4"/>
    </row>
    <row r="2264" spans="9:10" s="5" customFormat="1" ht="12.75">
      <c r="I2264" s="4"/>
      <c r="J2264" s="4"/>
    </row>
    <row r="2265" spans="9:10" s="5" customFormat="1" ht="12.75">
      <c r="I2265" s="4"/>
      <c r="J2265" s="4"/>
    </row>
    <row r="2266" spans="9:10" s="5" customFormat="1" ht="12.75">
      <c r="I2266" s="4"/>
      <c r="J2266" s="4"/>
    </row>
    <row r="2267" spans="9:10" s="5" customFormat="1" ht="12.75">
      <c r="I2267" s="4"/>
      <c r="J2267" s="4"/>
    </row>
    <row r="2268" spans="9:10" s="5" customFormat="1" ht="12.75">
      <c r="I2268" s="4"/>
      <c r="J2268" s="4"/>
    </row>
    <row r="2269" spans="9:10" s="5" customFormat="1" ht="12.75">
      <c r="I2269" s="4"/>
      <c r="J2269" s="4"/>
    </row>
    <row r="2270" spans="9:10" s="5" customFormat="1" ht="12.75">
      <c r="I2270" s="4"/>
      <c r="J2270" s="4"/>
    </row>
    <row r="2271" spans="9:10" s="5" customFormat="1" ht="12.75">
      <c r="I2271" s="4"/>
      <c r="J2271" s="4"/>
    </row>
    <row r="2272" spans="9:10" s="5" customFormat="1" ht="12.75">
      <c r="I2272" s="4"/>
      <c r="J2272" s="4"/>
    </row>
    <row r="2273" spans="9:10" s="5" customFormat="1" ht="12.75">
      <c r="I2273" s="4"/>
      <c r="J2273" s="4"/>
    </row>
    <row r="2274" spans="9:10" s="5" customFormat="1" ht="12.75">
      <c r="I2274" s="4"/>
      <c r="J2274" s="4"/>
    </row>
    <row r="2275" spans="9:10" s="5" customFormat="1" ht="12.75">
      <c r="I2275" s="4"/>
      <c r="J2275" s="4"/>
    </row>
    <row r="2276" spans="9:10" s="5" customFormat="1" ht="12.75">
      <c r="I2276" s="4"/>
      <c r="J2276" s="4"/>
    </row>
    <row r="2277" spans="9:10" s="5" customFormat="1" ht="12.75">
      <c r="I2277" s="4"/>
      <c r="J2277" s="4"/>
    </row>
    <row r="2278" spans="9:10" s="5" customFormat="1" ht="12.75">
      <c r="I2278" s="4"/>
      <c r="J2278" s="4"/>
    </row>
    <row r="2279" spans="9:10" s="5" customFormat="1" ht="12.75">
      <c r="I2279" s="4"/>
      <c r="J2279" s="4"/>
    </row>
    <row r="2280" spans="9:10" s="5" customFormat="1" ht="12.75">
      <c r="I2280" s="4"/>
      <c r="J2280" s="4"/>
    </row>
    <row r="2281" spans="9:10" s="5" customFormat="1" ht="12.75">
      <c r="I2281" s="4"/>
      <c r="J2281" s="4"/>
    </row>
    <row r="2282" spans="9:10" s="5" customFormat="1" ht="12.75">
      <c r="I2282" s="4"/>
      <c r="J2282" s="4"/>
    </row>
    <row r="2283" spans="9:10" s="5" customFormat="1" ht="12.75">
      <c r="I2283" s="4"/>
      <c r="J2283" s="4"/>
    </row>
    <row r="2284" spans="9:10" s="5" customFormat="1" ht="12.75">
      <c r="I2284" s="4"/>
      <c r="J2284" s="4"/>
    </row>
    <row r="2285" spans="9:10" s="5" customFormat="1" ht="12.75">
      <c r="I2285" s="4"/>
      <c r="J2285" s="4"/>
    </row>
    <row r="2286" spans="9:10" s="5" customFormat="1" ht="12.75">
      <c r="I2286" s="4"/>
      <c r="J2286" s="4"/>
    </row>
    <row r="2287" spans="9:10" s="5" customFormat="1" ht="12.75">
      <c r="I2287" s="4"/>
      <c r="J2287" s="4"/>
    </row>
    <row r="2288" spans="9:10" s="5" customFormat="1" ht="12.75">
      <c r="I2288" s="4"/>
      <c r="J2288" s="4"/>
    </row>
    <row r="2289" spans="9:10" s="5" customFormat="1" ht="12.75">
      <c r="I2289" s="4"/>
      <c r="J2289" s="4"/>
    </row>
    <row r="2290" spans="9:10" s="5" customFormat="1" ht="12.75">
      <c r="I2290" s="4"/>
      <c r="J2290" s="4"/>
    </row>
    <row r="2291" spans="9:10" s="5" customFormat="1" ht="12.75">
      <c r="I2291" s="4"/>
      <c r="J2291" s="4"/>
    </row>
    <row r="2292" spans="9:10" s="5" customFormat="1" ht="12.75">
      <c r="I2292" s="4"/>
      <c r="J2292" s="4"/>
    </row>
    <row r="2293" spans="9:10" s="5" customFormat="1" ht="12.75">
      <c r="I2293" s="4"/>
      <c r="J2293" s="4"/>
    </row>
    <row r="2294" spans="9:10" s="5" customFormat="1" ht="12.75">
      <c r="I2294" s="4"/>
      <c r="J2294" s="4"/>
    </row>
    <row r="2295" spans="9:10" s="5" customFormat="1" ht="12.75">
      <c r="I2295" s="4"/>
      <c r="J2295" s="4"/>
    </row>
    <row r="2296" spans="9:10" s="5" customFormat="1" ht="12.75">
      <c r="I2296" s="4"/>
      <c r="J2296" s="4"/>
    </row>
    <row r="2297" spans="9:10" s="5" customFormat="1" ht="12.75">
      <c r="I2297" s="4"/>
      <c r="J2297" s="4"/>
    </row>
    <row r="2298" spans="9:10" s="5" customFormat="1" ht="12.75">
      <c r="I2298" s="4"/>
      <c r="J2298" s="4"/>
    </row>
    <row r="2299" spans="9:10" s="5" customFormat="1" ht="12.75">
      <c r="I2299" s="4"/>
      <c r="J2299" s="4"/>
    </row>
    <row r="2300" spans="9:10" s="5" customFormat="1" ht="12.75">
      <c r="I2300" s="4"/>
      <c r="J2300" s="4"/>
    </row>
    <row r="2301" spans="9:10" s="5" customFormat="1" ht="12.75">
      <c r="I2301" s="4"/>
      <c r="J2301" s="4"/>
    </row>
    <row r="2302" spans="9:10" s="5" customFormat="1" ht="12.75">
      <c r="I2302" s="4"/>
      <c r="J2302" s="4"/>
    </row>
    <row r="2303" spans="9:10" s="5" customFormat="1" ht="12.75">
      <c r="I2303" s="4"/>
      <c r="J2303" s="4"/>
    </row>
    <row r="2304" spans="9:10" s="5" customFormat="1" ht="12.75">
      <c r="I2304" s="4"/>
      <c r="J2304" s="4"/>
    </row>
    <row r="2305" spans="9:10" s="5" customFormat="1" ht="12.75">
      <c r="I2305" s="4"/>
      <c r="J2305" s="4"/>
    </row>
    <row r="2306" spans="9:10" s="5" customFormat="1" ht="12.75">
      <c r="I2306" s="4"/>
      <c r="J2306" s="4"/>
    </row>
    <row r="2307" spans="9:10" s="5" customFormat="1" ht="12.75">
      <c r="I2307" s="4"/>
      <c r="J2307" s="4"/>
    </row>
    <row r="2308" spans="9:10" s="5" customFormat="1" ht="12.75">
      <c r="I2308" s="4"/>
      <c r="J2308" s="4"/>
    </row>
    <row r="2309" spans="9:10" s="5" customFormat="1" ht="12.75">
      <c r="I2309" s="4"/>
      <c r="J2309" s="4"/>
    </row>
    <row r="2310" spans="9:10" s="5" customFormat="1" ht="12.75">
      <c r="I2310" s="4"/>
      <c r="J2310" s="4"/>
    </row>
    <row r="2311" spans="9:10" s="5" customFormat="1" ht="12.75">
      <c r="I2311" s="4"/>
      <c r="J2311" s="4"/>
    </row>
    <row r="2312" spans="9:10" s="5" customFormat="1" ht="12.75">
      <c r="I2312" s="4"/>
      <c r="J2312" s="4"/>
    </row>
    <row r="2313" spans="9:10" s="5" customFormat="1" ht="12.75">
      <c r="I2313" s="4"/>
      <c r="J2313" s="4"/>
    </row>
    <row r="2314" spans="9:10" s="5" customFormat="1" ht="12.75">
      <c r="I2314" s="4"/>
      <c r="J2314" s="4"/>
    </row>
    <row r="2315" spans="9:10" s="5" customFormat="1" ht="12.75">
      <c r="I2315" s="4"/>
      <c r="J2315" s="4"/>
    </row>
    <row r="2316" spans="9:10" s="5" customFormat="1" ht="12.75">
      <c r="I2316" s="4"/>
      <c r="J2316" s="4"/>
    </row>
    <row r="2317" spans="9:10" s="5" customFormat="1" ht="12.75">
      <c r="I2317" s="4"/>
      <c r="J2317" s="4"/>
    </row>
    <row r="2318" spans="9:10" s="5" customFormat="1" ht="12.75">
      <c r="I2318" s="4"/>
      <c r="J2318" s="4"/>
    </row>
    <row r="2319" spans="9:10" s="5" customFormat="1" ht="12.75">
      <c r="I2319" s="4"/>
      <c r="J2319" s="4"/>
    </row>
    <row r="2320" spans="9:10" s="5" customFormat="1" ht="12.75">
      <c r="I2320" s="4"/>
      <c r="J2320" s="4"/>
    </row>
    <row r="2321" spans="9:10" s="5" customFormat="1" ht="12.75">
      <c r="I2321" s="4"/>
      <c r="J2321" s="4"/>
    </row>
    <row r="2322" spans="9:10" s="5" customFormat="1" ht="12.75">
      <c r="I2322" s="4"/>
      <c r="J2322" s="4"/>
    </row>
    <row r="2323" spans="9:10" s="5" customFormat="1" ht="12.75">
      <c r="I2323" s="4"/>
      <c r="J2323" s="4"/>
    </row>
    <row r="2324" spans="9:10" s="5" customFormat="1" ht="12.75">
      <c r="I2324" s="4"/>
      <c r="J2324" s="4"/>
    </row>
    <row r="2325" spans="9:10" s="5" customFormat="1" ht="12.75">
      <c r="I2325" s="4"/>
      <c r="J2325" s="4"/>
    </row>
    <row r="2326" spans="9:10" s="5" customFormat="1" ht="12.75">
      <c r="I2326" s="4"/>
      <c r="J2326" s="4"/>
    </row>
    <row r="2327" spans="9:10" s="5" customFormat="1" ht="12.75">
      <c r="I2327" s="4"/>
      <c r="J2327" s="4"/>
    </row>
    <row r="2328" spans="9:10" s="5" customFormat="1" ht="12.75">
      <c r="I2328" s="4"/>
      <c r="J2328" s="4"/>
    </row>
    <row r="2329" spans="9:10" s="5" customFormat="1" ht="12.75">
      <c r="I2329" s="4"/>
      <c r="J2329" s="4"/>
    </row>
    <row r="2330" spans="9:10" s="5" customFormat="1" ht="12.75">
      <c r="I2330" s="4"/>
      <c r="J2330" s="4"/>
    </row>
    <row r="2331" spans="9:10" s="5" customFormat="1" ht="12.75">
      <c r="I2331" s="4"/>
      <c r="J2331" s="4"/>
    </row>
    <row r="2332" spans="9:10" s="5" customFormat="1" ht="12.75">
      <c r="I2332" s="4"/>
      <c r="J2332" s="4"/>
    </row>
    <row r="2333" spans="9:10" s="5" customFormat="1" ht="12.75">
      <c r="I2333" s="4"/>
      <c r="J2333" s="4"/>
    </row>
    <row r="2334" spans="9:10" s="5" customFormat="1" ht="12.75">
      <c r="I2334" s="4"/>
      <c r="J2334" s="4"/>
    </row>
    <row r="2335" spans="9:10" s="5" customFormat="1" ht="12.75">
      <c r="I2335" s="4"/>
      <c r="J2335" s="4"/>
    </row>
    <row r="2336" spans="9:10" s="5" customFormat="1" ht="12.75">
      <c r="I2336" s="4"/>
      <c r="J2336" s="4"/>
    </row>
    <row r="2337" spans="9:10" s="5" customFormat="1" ht="12.75">
      <c r="I2337" s="4"/>
      <c r="J2337" s="4"/>
    </row>
    <row r="2338" spans="9:10" s="5" customFormat="1" ht="12.75">
      <c r="I2338" s="4"/>
      <c r="J2338" s="4"/>
    </row>
    <row r="2339" spans="9:10" s="5" customFormat="1" ht="12.75">
      <c r="I2339" s="4"/>
      <c r="J2339" s="4"/>
    </row>
    <row r="2340" spans="9:10" s="5" customFormat="1" ht="12.75">
      <c r="I2340" s="4"/>
      <c r="J2340" s="4"/>
    </row>
    <row r="2341" spans="9:10" s="5" customFormat="1" ht="12.75">
      <c r="I2341" s="4"/>
      <c r="J2341" s="4"/>
    </row>
    <row r="2342" spans="9:10" s="5" customFormat="1" ht="12.75">
      <c r="I2342" s="4"/>
      <c r="J2342" s="4"/>
    </row>
    <row r="2343" spans="9:10" s="5" customFormat="1" ht="12.75">
      <c r="I2343" s="4"/>
      <c r="J2343" s="4"/>
    </row>
    <row r="2344" spans="9:10" s="5" customFormat="1" ht="12.75">
      <c r="I2344" s="4"/>
      <c r="J2344" s="4"/>
    </row>
    <row r="2345" spans="9:10" s="5" customFormat="1" ht="12.75">
      <c r="I2345" s="4"/>
      <c r="J2345" s="4"/>
    </row>
    <row r="2346" spans="9:10" s="5" customFormat="1" ht="12.75">
      <c r="I2346" s="4"/>
      <c r="J2346" s="4"/>
    </row>
    <row r="2347" spans="9:10" s="5" customFormat="1" ht="12.75">
      <c r="I2347" s="4"/>
      <c r="J2347" s="4"/>
    </row>
    <row r="2348" spans="9:10" s="5" customFormat="1" ht="12.75">
      <c r="I2348" s="4"/>
      <c r="J2348" s="4"/>
    </row>
    <row r="2349" spans="9:10" s="5" customFormat="1" ht="12.75">
      <c r="I2349" s="4"/>
      <c r="J2349" s="4"/>
    </row>
    <row r="2350" spans="9:10" s="5" customFormat="1" ht="12.75">
      <c r="I2350" s="4"/>
      <c r="J2350" s="4"/>
    </row>
    <row r="2351" spans="9:10" s="5" customFormat="1" ht="12.75">
      <c r="I2351" s="4"/>
      <c r="J2351" s="4"/>
    </row>
    <row r="2352" spans="9:10" s="5" customFormat="1" ht="12.75">
      <c r="I2352" s="4"/>
      <c r="J2352" s="4"/>
    </row>
    <row r="2353" spans="9:10" s="5" customFormat="1" ht="12.75">
      <c r="I2353" s="4"/>
      <c r="J2353" s="4"/>
    </row>
    <row r="2354" spans="9:10" s="5" customFormat="1" ht="12.75">
      <c r="I2354" s="4"/>
      <c r="J2354" s="4"/>
    </row>
    <row r="2355" spans="9:10" s="5" customFormat="1" ht="12.75">
      <c r="I2355" s="4"/>
      <c r="J2355" s="4"/>
    </row>
    <row r="2356" spans="9:10" s="5" customFormat="1" ht="12.75">
      <c r="I2356" s="4"/>
      <c r="J2356" s="4"/>
    </row>
    <row r="2357" spans="9:10" s="5" customFormat="1" ht="12.75">
      <c r="I2357" s="4"/>
      <c r="J2357" s="4"/>
    </row>
    <row r="2358" spans="9:10" s="5" customFormat="1" ht="12.75">
      <c r="I2358" s="4"/>
      <c r="J2358" s="4"/>
    </row>
    <row r="2359" spans="9:10" s="5" customFormat="1" ht="12.75">
      <c r="I2359" s="4"/>
      <c r="J2359" s="4"/>
    </row>
    <row r="2360" spans="9:10" s="5" customFormat="1" ht="12.75">
      <c r="I2360" s="4"/>
      <c r="J2360" s="4"/>
    </row>
    <row r="2361" spans="9:10" s="5" customFormat="1" ht="12.75">
      <c r="I2361" s="4"/>
      <c r="J2361" s="4"/>
    </row>
    <row r="2362" spans="9:10" s="5" customFormat="1" ht="12.75">
      <c r="I2362" s="4"/>
      <c r="J2362" s="4"/>
    </row>
    <row r="2363" spans="9:10" s="5" customFormat="1" ht="12.75">
      <c r="I2363" s="4"/>
      <c r="J2363" s="4"/>
    </row>
    <row r="2364" spans="9:10" s="5" customFormat="1" ht="12.75">
      <c r="I2364" s="4"/>
      <c r="J2364" s="4"/>
    </row>
    <row r="2365" spans="9:10" s="5" customFormat="1" ht="12.75">
      <c r="I2365" s="4"/>
      <c r="J2365" s="4"/>
    </row>
    <row r="2366" spans="9:10" s="5" customFormat="1" ht="12.75">
      <c r="I2366" s="4"/>
      <c r="J2366" s="4"/>
    </row>
    <row r="2367" spans="9:10" s="5" customFormat="1" ht="12.75">
      <c r="I2367" s="4"/>
      <c r="J2367" s="4"/>
    </row>
    <row r="2368" spans="9:10" s="5" customFormat="1" ht="12.75">
      <c r="I2368" s="4"/>
      <c r="J2368" s="4"/>
    </row>
    <row r="2369" spans="9:10" s="5" customFormat="1" ht="12.75">
      <c r="I2369" s="4"/>
      <c r="J2369" s="4"/>
    </row>
    <row r="2370" spans="9:10" s="5" customFormat="1" ht="12.75">
      <c r="I2370" s="4"/>
      <c r="J2370" s="4"/>
    </row>
    <row r="2371" spans="9:10" s="5" customFormat="1" ht="12.75">
      <c r="I2371" s="4"/>
      <c r="J2371" s="4"/>
    </row>
    <row r="2372" spans="9:10" s="5" customFormat="1" ht="12.75">
      <c r="I2372" s="4"/>
      <c r="J2372" s="4"/>
    </row>
    <row r="2373" spans="9:10" s="5" customFormat="1" ht="12.75">
      <c r="I2373" s="4"/>
      <c r="J2373" s="4"/>
    </row>
    <row r="2374" spans="9:10" s="5" customFormat="1" ht="12.75">
      <c r="I2374" s="4"/>
      <c r="J2374" s="4"/>
    </row>
    <row r="2375" spans="9:10" s="5" customFormat="1" ht="12.75">
      <c r="I2375" s="4"/>
      <c r="J2375" s="4"/>
    </row>
    <row r="2376" spans="9:10" s="5" customFormat="1" ht="12.75">
      <c r="I2376" s="4"/>
      <c r="J2376" s="4"/>
    </row>
    <row r="2377" spans="9:10" s="5" customFormat="1" ht="12.75">
      <c r="I2377" s="4"/>
      <c r="J2377" s="4"/>
    </row>
    <row r="2378" spans="9:10" s="5" customFormat="1" ht="12.75">
      <c r="I2378" s="4"/>
      <c r="J2378" s="4"/>
    </row>
    <row r="2379" spans="9:10" s="5" customFormat="1" ht="12.75">
      <c r="I2379" s="4"/>
      <c r="J2379" s="4"/>
    </row>
    <row r="2380" spans="9:10" s="5" customFormat="1" ht="12.75">
      <c r="I2380" s="4"/>
      <c r="J2380" s="4"/>
    </row>
    <row r="2381" spans="9:10" s="5" customFormat="1" ht="12.75">
      <c r="I2381" s="4"/>
      <c r="J2381" s="4"/>
    </row>
    <row r="2382" spans="9:10" s="5" customFormat="1" ht="12.75">
      <c r="I2382" s="4"/>
      <c r="J2382" s="4"/>
    </row>
    <row r="2383" spans="9:10" s="5" customFormat="1" ht="12.75">
      <c r="I2383" s="4"/>
      <c r="J2383" s="4"/>
    </row>
    <row r="2384" spans="9:10" s="5" customFormat="1" ht="12.75">
      <c r="I2384" s="4"/>
      <c r="J2384" s="4"/>
    </row>
    <row r="2385" spans="9:10" s="5" customFormat="1" ht="12.75">
      <c r="I2385" s="4"/>
      <c r="J2385" s="4"/>
    </row>
    <row r="2386" spans="9:10" s="5" customFormat="1" ht="12.75">
      <c r="I2386" s="4"/>
      <c r="J2386" s="4"/>
    </row>
    <row r="2387" spans="9:10" s="5" customFormat="1" ht="12.75">
      <c r="I2387" s="4"/>
      <c r="J2387" s="4"/>
    </row>
    <row r="2388" spans="9:10" s="5" customFormat="1" ht="12.75">
      <c r="I2388" s="4"/>
      <c r="J2388" s="4"/>
    </row>
    <row r="2389" spans="9:10" s="5" customFormat="1" ht="12.75">
      <c r="I2389" s="4"/>
      <c r="J2389" s="4"/>
    </row>
    <row r="2390" spans="9:10" s="5" customFormat="1" ht="12.75">
      <c r="I2390" s="4"/>
      <c r="J2390" s="4"/>
    </row>
    <row r="2391" spans="9:10" s="5" customFormat="1" ht="12.75">
      <c r="I2391" s="4"/>
      <c r="J2391" s="4"/>
    </row>
    <row r="2392" spans="9:10" s="5" customFormat="1" ht="12.75">
      <c r="I2392" s="4"/>
      <c r="J2392" s="4"/>
    </row>
    <row r="2393" spans="9:10" s="5" customFormat="1" ht="12.75">
      <c r="I2393" s="4"/>
      <c r="J2393" s="4"/>
    </row>
    <row r="2394" spans="9:10" s="5" customFormat="1" ht="12.75">
      <c r="I2394" s="4"/>
      <c r="J2394" s="4"/>
    </row>
    <row r="2395" spans="9:10" s="5" customFormat="1" ht="12.75">
      <c r="I2395" s="4"/>
      <c r="J2395" s="4"/>
    </row>
    <row r="2396" spans="9:10" s="5" customFormat="1" ht="12.75">
      <c r="I2396" s="4"/>
      <c r="J2396" s="4"/>
    </row>
    <row r="2397" spans="9:10" s="5" customFormat="1" ht="12.75">
      <c r="I2397" s="4"/>
      <c r="J2397" s="4"/>
    </row>
    <row r="2398" spans="9:10" s="5" customFormat="1" ht="12.75">
      <c r="I2398" s="4"/>
      <c r="J2398" s="4"/>
    </row>
    <row r="2399" spans="9:10" s="5" customFormat="1" ht="12.75">
      <c r="I2399" s="4"/>
      <c r="J2399" s="4"/>
    </row>
    <row r="2400" spans="9:10" s="5" customFormat="1" ht="12.75">
      <c r="I2400" s="4"/>
      <c r="J2400" s="4"/>
    </row>
    <row r="2401" spans="9:10" s="5" customFormat="1" ht="12.75">
      <c r="I2401" s="4"/>
      <c r="J2401" s="4"/>
    </row>
    <row r="2402" spans="9:10" s="5" customFormat="1" ht="12.75">
      <c r="I2402" s="4"/>
      <c r="J2402" s="4"/>
    </row>
    <row r="2403" spans="9:10" s="5" customFormat="1" ht="12.75">
      <c r="I2403" s="4"/>
      <c r="J2403" s="4"/>
    </row>
    <row r="2404" spans="9:10" s="5" customFormat="1" ht="12.75">
      <c r="I2404" s="4"/>
      <c r="J2404" s="4"/>
    </row>
    <row r="2405" spans="9:10" s="5" customFormat="1" ht="12.75">
      <c r="I2405" s="4"/>
      <c r="J2405" s="4"/>
    </row>
    <row r="2406" spans="9:10" s="5" customFormat="1" ht="12.75">
      <c r="I2406" s="4"/>
      <c r="J2406" s="4"/>
    </row>
    <row r="2407" spans="9:10" s="5" customFormat="1" ht="12.75">
      <c r="I2407" s="4"/>
      <c r="J2407" s="4"/>
    </row>
    <row r="2408" spans="9:10" s="5" customFormat="1" ht="12.75">
      <c r="I2408" s="4"/>
      <c r="J2408" s="4"/>
    </row>
    <row r="2409" spans="9:10" s="5" customFormat="1" ht="12.75">
      <c r="I2409" s="4"/>
      <c r="J2409" s="4"/>
    </row>
    <row r="2410" spans="9:10" s="5" customFormat="1" ht="12.75">
      <c r="I2410" s="4"/>
      <c r="J2410" s="4"/>
    </row>
    <row r="2411" spans="9:10" s="5" customFormat="1" ht="12.75">
      <c r="I2411" s="4"/>
      <c r="J2411" s="4"/>
    </row>
    <row r="2412" spans="9:10" s="5" customFormat="1" ht="12.75">
      <c r="I2412" s="4"/>
      <c r="J2412" s="4"/>
    </row>
    <row r="2413" spans="9:10" s="5" customFormat="1" ht="12.75">
      <c r="I2413" s="4"/>
      <c r="J2413" s="4"/>
    </row>
    <row r="2414" spans="9:10" s="5" customFormat="1" ht="12.75">
      <c r="I2414" s="4"/>
      <c r="J2414" s="4"/>
    </row>
    <row r="2415" spans="9:10" s="5" customFormat="1" ht="12.75">
      <c r="I2415" s="4"/>
      <c r="J2415" s="4"/>
    </row>
    <row r="2416" spans="9:10" s="5" customFormat="1" ht="12.75">
      <c r="I2416" s="4"/>
      <c r="J2416" s="4"/>
    </row>
    <row r="2417" spans="9:10" s="5" customFormat="1" ht="12.75">
      <c r="I2417" s="4"/>
      <c r="J2417" s="4"/>
    </row>
    <row r="2418" spans="9:10" s="5" customFormat="1" ht="12.75">
      <c r="I2418" s="4"/>
      <c r="J2418" s="4"/>
    </row>
    <row r="2419" spans="9:10" s="5" customFormat="1" ht="12.75">
      <c r="I2419" s="4"/>
      <c r="J2419" s="4"/>
    </row>
    <row r="2420" spans="9:10" s="5" customFormat="1" ht="12.75">
      <c r="I2420" s="4"/>
      <c r="J2420" s="4"/>
    </row>
    <row r="2421" spans="9:10" s="5" customFormat="1" ht="12.75">
      <c r="I2421" s="4"/>
      <c r="J2421" s="4"/>
    </row>
    <row r="2422" spans="9:10" s="5" customFormat="1" ht="12.75">
      <c r="I2422" s="4"/>
      <c r="J2422" s="4"/>
    </row>
    <row r="2423" spans="9:10" s="5" customFormat="1" ht="12.75">
      <c r="I2423" s="4"/>
      <c r="J2423" s="4"/>
    </row>
    <row r="2424" spans="9:10" s="5" customFormat="1" ht="12.75">
      <c r="I2424" s="4"/>
      <c r="J2424" s="4"/>
    </row>
    <row r="2425" spans="9:10" s="5" customFormat="1" ht="12.75">
      <c r="I2425" s="4"/>
      <c r="J2425" s="4"/>
    </row>
    <row r="2426" spans="9:10" s="5" customFormat="1" ht="12.75">
      <c r="I2426" s="4"/>
      <c r="J2426" s="4"/>
    </row>
    <row r="2427" spans="9:10" s="5" customFormat="1" ht="12.75">
      <c r="I2427" s="4"/>
      <c r="J2427" s="4"/>
    </row>
    <row r="2428" spans="9:10" s="5" customFormat="1" ht="12.75">
      <c r="I2428" s="4"/>
      <c r="J2428" s="4"/>
    </row>
    <row r="2429" spans="9:10" s="5" customFormat="1" ht="12.75">
      <c r="I2429" s="4"/>
      <c r="J2429" s="4"/>
    </row>
    <row r="2430" spans="9:10" s="5" customFormat="1" ht="12.75">
      <c r="I2430" s="4"/>
      <c r="J2430" s="4"/>
    </row>
    <row r="2431" spans="9:10" s="5" customFormat="1" ht="12.75">
      <c r="I2431" s="4"/>
      <c r="J2431" s="4"/>
    </row>
    <row r="2432" spans="9:10" s="5" customFormat="1" ht="12.75">
      <c r="I2432" s="4"/>
      <c r="J2432" s="4"/>
    </row>
    <row r="2433" spans="9:10" s="5" customFormat="1" ht="12.75">
      <c r="I2433" s="4"/>
      <c r="J2433" s="4"/>
    </row>
    <row r="2434" spans="9:10" s="5" customFormat="1" ht="12.75">
      <c r="I2434" s="4"/>
      <c r="J2434" s="4"/>
    </row>
    <row r="2435" spans="9:10" s="5" customFormat="1" ht="12.75">
      <c r="I2435" s="4"/>
      <c r="J2435" s="4"/>
    </row>
    <row r="2436" spans="9:10" s="5" customFormat="1" ht="12.75">
      <c r="I2436" s="4"/>
      <c r="J2436" s="4"/>
    </row>
    <row r="2437" spans="9:10" s="5" customFormat="1" ht="12.75">
      <c r="I2437" s="4"/>
      <c r="J2437" s="4"/>
    </row>
    <row r="2438" spans="9:10" s="5" customFormat="1" ht="12.75">
      <c r="I2438" s="4"/>
      <c r="J2438" s="4"/>
    </row>
    <row r="2439" spans="9:10" s="5" customFormat="1" ht="12.75">
      <c r="I2439" s="4"/>
      <c r="J2439" s="4"/>
    </row>
    <row r="2440" spans="9:10" s="5" customFormat="1" ht="12.75">
      <c r="I2440" s="4"/>
      <c r="J2440" s="4"/>
    </row>
    <row r="2441" spans="9:10" s="5" customFormat="1" ht="12.75">
      <c r="I2441" s="4"/>
      <c r="J2441" s="4"/>
    </row>
    <row r="2442" spans="9:10" s="5" customFormat="1" ht="12.75">
      <c r="I2442" s="4"/>
      <c r="J2442" s="4"/>
    </row>
    <row r="2443" spans="9:10" s="5" customFormat="1" ht="12.75">
      <c r="I2443" s="4"/>
      <c r="J2443" s="4"/>
    </row>
    <row r="2444" spans="9:10" s="5" customFormat="1" ht="12.75">
      <c r="I2444" s="4"/>
      <c r="J2444" s="4"/>
    </row>
    <row r="2445" spans="9:10" s="5" customFormat="1" ht="12.75">
      <c r="I2445" s="4"/>
      <c r="J2445" s="4"/>
    </row>
    <row r="2446" spans="9:10" s="5" customFormat="1" ht="12.75">
      <c r="I2446" s="4"/>
      <c r="J2446" s="4"/>
    </row>
    <row r="2447" spans="9:10" s="5" customFormat="1" ht="12.75">
      <c r="I2447" s="4"/>
      <c r="J2447" s="4"/>
    </row>
    <row r="2448" spans="9:10" s="5" customFormat="1" ht="12.75">
      <c r="I2448" s="4"/>
      <c r="J2448" s="4"/>
    </row>
    <row r="2449" spans="9:10" s="5" customFormat="1" ht="12.75">
      <c r="I2449" s="4"/>
      <c r="J2449" s="4"/>
    </row>
    <row r="2450" spans="9:10" s="5" customFormat="1" ht="12.75">
      <c r="I2450" s="4"/>
      <c r="J2450" s="4"/>
    </row>
    <row r="2451" spans="9:10" s="5" customFormat="1" ht="12.75">
      <c r="I2451" s="4"/>
      <c r="J2451" s="4"/>
    </row>
    <row r="2452" spans="9:10" s="5" customFormat="1" ht="12.75">
      <c r="I2452" s="4"/>
      <c r="J2452" s="4"/>
    </row>
    <row r="2453" spans="9:10" s="5" customFormat="1" ht="12.75">
      <c r="I2453" s="4"/>
      <c r="J2453" s="4"/>
    </row>
    <row r="2454" spans="9:10" s="5" customFormat="1" ht="12.75">
      <c r="I2454" s="4"/>
      <c r="J2454" s="4"/>
    </row>
    <row r="2455" spans="9:10" s="5" customFormat="1" ht="12.75">
      <c r="I2455" s="4"/>
      <c r="J2455" s="4"/>
    </row>
    <row r="2456" spans="9:10" s="5" customFormat="1" ht="12.75">
      <c r="I2456" s="4"/>
      <c r="J2456" s="4"/>
    </row>
    <row r="2457" spans="9:10" s="5" customFormat="1" ht="12.75">
      <c r="I2457" s="4"/>
      <c r="J2457" s="4"/>
    </row>
    <row r="2458" spans="9:10" s="5" customFormat="1" ht="12.75">
      <c r="I2458" s="4"/>
      <c r="J2458" s="4"/>
    </row>
    <row r="2459" spans="9:10" s="5" customFormat="1" ht="12.75">
      <c r="I2459" s="4"/>
      <c r="J2459" s="4"/>
    </row>
    <row r="2460" spans="9:10" s="5" customFormat="1" ht="12.75">
      <c r="I2460" s="4"/>
      <c r="J2460" s="4"/>
    </row>
    <row r="2461" spans="9:10" s="5" customFormat="1" ht="12.75">
      <c r="I2461" s="4"/>
      <c r="J2461" s="4"/>
    </row>
    <row r="2462" spans="9:10" s="5" customFormat="1" ht="12.75">
      <c r="I2462" s="4"/>
      <c r="J2462" s="4"/>
    </row>
    <row r="2463" spans="9:10" s="5" customFormat="1" ht="12.75">
      <c r="I2463" s="4"/>
      <c r="J2463" s="4"/>
    </row>
    <row r="2464" spans="9:10" s="5" customFormat="1" ht="12.75">
      <c r="I2464" s="4"/>
      <c r="J2464" s="4"/>
    </row>
    <row r="2465" spans="9:10" s="5" customFormat="1" ht="12.75">
      <c r="I2465" s="4"/>
      <c r="J2465" s="4"/>
    </row>
    <row r="2466" spans="9:10" s="5" customFormat="1" ht="12.75">
      <c r="I2466" s="4"/>
      <c r="J2466" s="4"/>
    </row>
    <row r="2467" spans="9:10" s="5" customFormat="1" ht="12.75">
      <c r="I2467" s="4"/>
      <c r="J2467" s="4"/>
    </row>
    <row r="2468" spans="9:10" s="5" customFormat="1" ht="12.75">
      <c r="I2468" s="4"/>
      <c r="J2468" s="4"/>
    </row>
    <row r="2469" spans="9:10" s="5" customFormat="1" ht="12.75">
      <c r="I2469" s="4"/>
      <c r="J2469" s="4"/>
    </row>
    <row r="2470" spans="9:10" s="5" customFormat="1" ht="12.75">
      <c r="I2470" s="4"/>
      <c r="J2470" s="4"/>
    </row>
    <row r="2471" spans="9:10" s="5" customFormat="1" ht="12.75">
      <c r="I2471" s="4"/>
      <c r="J2471" s="4"/>
    </row>
    <row r="2472" spans="9:10" s="5" customFormat="1" ht="12.75">
      <c r="I2472" s="4"/>
      <c r="J2472" s="4"/>
    </row>
    <row r="2473" spans="9:10" s="5" customFormat="1" ht="12.75">
      <c r="I2473" s="4"/>
      <c r="J2473" s="4"/>
    </row>
    <row r="2474" spans="9:10" s="5" customFormat="1" ht="12.75">
      <c r="I2474" s="4"/>
      <c r="J2474" s="4"/>
    </row>
    <row r="2475" spans="9:10" s="5" customFormat="1" ht="12.75">
      <c r="I2475" s="4"/>
      <c r="J2475" s="4"/>
    </row>
    <row r="2476" spans="9:10" s="5" customFormat="1" ht="12.75">
      <c r="I2476" s="4"/>
      <c r="J2476" s="4"/>
    </row>
    <row r="2477" spans="9:10" s="5" customFormat="1" ht="12.75">
      <c r="I2477" s="4"/>
      <c r="J2477" s="4"/>
    </row>
    <row r="2478" spans="9:10" s="5" customFormat="1" ht="12.75">
      <c r="I2478" s="4"/>
      <c r="J2478" s="4"/>
    </row>
    <row r="2479" spans="9:10" s="5" customFormat="1" ht="12.75">
      <c r="I2479" s="4"/>
      <c r="J2479" s="4"/>
    </row>
    <row r="2480" spans="9:10" s="5" customFormat="1" ht="12.75">
      <c r="I2480" s="4"/>
      <c r="J2480" s="4"/>
    </row>
    <row r="2481" spans="9:10" s="5" customFormat="1" ht="12.75">
      <c r="I2481" s="4"/>
      <c r="J2481" s="4"/>
    </row>
    <row r="2482" spans="9:10" s="5" customFormat="1" ht="12.75">
      <c r="I2482" s="4"/>
      <c r="J2482" s="4"/>
    </row>
    <row r="2483" spans="9:10" s="5" customFormat="1" ht="12.75">
      <c r="I2483" s="4"/>
      <c r="J2483" s="4"/>
    </row>
    <row r="2484" spans="9:10" s="5" customFormat="1" ht="12.75">
      <c r="I2484" s="4"/>
      <c r="J2484" s="4"/>
    </row>
    <row r="2485" spans="9:10" s="5" customFormat="1" ht="12.75">
      <c r="I2485" s="4"/>
      <c r="J2485" s="4"/>
    </row>
    <row r="2486" spans="9:10" s="5" customFormat="1" ht="12.75">
      <c r="I2486" s="4"/>
      <c r="J2486" s="4"/>
    </row>
    <row r="2487" spans="9:10" s="5" customFormat="1" ht="12.75">
      <c r="I2487" s="4"/>
      <c r="J2487" s="4"/>
    </row>
    <row r="2488" spans="9:10" s="5" customFormat="1" ht="12.75">
      <c r="I2488" s="4"/>
      <c r="J2488" s="4"/>
    </row>
    <row r="2489" spans="9:10" s="5" customFormat="1" ht="12.75">
      <c r="I2489" s="4"/>
      <c r="J2489" s="4"/>
    </row>
    <row r="2490" spans="9:10" s="5" customFormat="1" ht="12.75">
      <c r="I2490" s="4"/>
      <c r="J2490" s="4"/>
    </row>
    <row r="2491" spans="9:10" s="5" customFormat="1" ht="12.75">
      <c r="I2491" s="4"/>
      <c r="J2491" s="4"/>
    </row>
    <row r="2492" spans="9:10" s="5" customFormat="1" ht="12.75">
      <c r="I2492" s="4"/>
      <c r="J2492" s="4"/>
    </row>
    <row r="2493" spans="9:10" s="5" customFormat="1" ht="12.75">
      <c r="I2493" s="4"/>
      <c r="J2493" s="4"/>
    </row>
    <row r="2494" spans="9:10" s="5" customFormat="1" ht="12.75">
      <c r="I2494" s="4"/>
      <c r="J2494" s="4"/>
    </row>
    <row r="2495" spans="9:10" s="5" customFormat="1" ht="12.75">
      <c r="I2495" s="4"/>
      <c r="J2495" s="4"/>
    </row>
    <row r="2496" spans="9:10" s="5" customFormat="1" ht="12.75">
      <c r="I2496" s="4"/>
      <c r="J2496" s="4"/>
    </row>
    <row r="2497" spans="9:10" s="5" customFormat="1" ht="12.75">
      <c r="I2497" s="4"/>
      <c r="J2497" s="4"/>
    </row>
    <row r="2498" spans="9:10" s="5" customFormat="1" ht="12.75">
      <c r="I2498" s="4"/>
      <c r="J2498" s="4"/>
    </row>
    <row r="2499" spans="9:10" s="5" customFormat="1" ht="12.75">
      <c r="I2499" s="4"/>
      <c r="J2499" s="4"/>
    </row>
    <row r="2500" spans="9:10" s="5" customFormat="1" ht="12.75">
      <c r="I2500" s="4"/>
      <c r="J2500" s="4"/>
    </row>
    <row r="2501" spans="9:10" s="5" customFormat="1" ht="12.75">
      <c r="I2501" s="4"/>
      <c r="J2501" s="4"/>
    </row>
    <row r="2502" spans="9:10" s="5" customFormat="1" ht="12.75">
      <c r="I2502" s="4"/>
      <c r="J2502" s="4"/>
    </row>
    <row r="2503" spans="9:10" s="5" customFormat="1" ht="12.75">
      <c r="I2503" s="4"/>
      <c r="J2503" s="4"/>
    </row>
    <row r="2504" spans="9:10" s="5" customFormat="1" ht="12.75">
      <c r="I2504" s="4"/>
      <c r="J2504" s="4"/>
    </row>
    <row r="2505" spans="9:10" s="5" customFormat="1" ht="12.75">
      <c r="I2505" s="4"/>
      <c r="J2505" s="4"/>
    </row>
    <row r="2506" spans="9:10" s="5" customFormat="1" ht="12.75">
      <c r="I2506" s="4"/>
      <c r="J2506" s="4"/>
    </row>
    <row r="2507" spans="9:10" s="5" customFormat="1" ht="12.75">
      <c r="I2507" s="4"/>
      <c r="J2507" s="4"/>
    </row>
    <row r="2508" spans="9:10" s="5" customFormat="1" ht="12.75">
      <c r="I2508" s="4"/>
      <c r="J2508" s="4"/>
    </row>
    <row r="2509" spans="9:10" s="5" customFormat="1" ht="12.75">
      <c r="I2509" s="4"/>
      <c r="J2509" s="4"/>
    </row>
    <row r="2510" spans="9:10" s="5" customFormat="1" ht="12.75">
      <c r="I2510" s="4"/>
      <c r="J2510" s="4"/>
    </row>
    <row r="2511" spans="9:10" s="5" customFormat="1" ht="12.75">
      <c r="I2511" s="4"/>
      <c r="J2511" s="4"/>
    </row>
    <row r="2512" spans="9:10" s="5" customFormat="1" ht="12.75">
      <c r="I2512" s="4"/>
      <c r="J2512" s="4"/>
    </row>
    <row r="2513" spans="9:10" s="5" customFormat="1" ht="12.75">
      <c r="I2513" s="4"/>
      <c r="J2513" s="4"/>
    </row>
    <row r="2514" spans="9:10" s="5" customFormat="1" ht="12.75">
      <c r="I2514" s="4"/>
      <c r="J2514" s="4"/>
    </row>
    <row r="2515" spans="9:10" s="5" customFormat="1" ht="12.75">
      <c r="I2515" s="4"/>
      <c r="J2515" s="4"/>
    </row>
    <row r="2516" spans="9:10" s="5" customFormat="1" ht="12.75">
      <c r="I2516" s="4"/>
      <c r="J2516" s="4"/>
    </row>
    <row r="2517" spans="9:10" s="5" customFormat="1" ht="12.75">
      <c r="I2517" s="4"/>
      <c r="J2517" s="4"/>
    </row>
    <row r="2518" spans="9:10" s="5" customFormat="1" ht="12.75">
      <c r="I2518" s="4"/>
      <c r="J2518" s="4"/>
    </row>
    <row r="2519" spans="9:10" s="5" customFormat="1" ht="12.75">
      <c r="I2519" s="4"/>
      <c r="J2519" s="4"/>
    </row>
    <row r="2520" spans="9:10" s="5" customFormat="1" ht="12.75">
      <c r="I2520" s="4"/>
      <c r="J2520" s="4"/>
    </row>
    <row r="2521" spans="9:10" s="5" customFormat="1" ht="12.75">
      <c r="I2521" s="4"/>
      <c r="J2521" s="4"/>
    </row>
    <row r="2522" spans="9:10" s="5" customFormat="1" ht="12.75">
      <c r="I2522" s="4"/>
      <c r="J2522" s="4"/>
    </row>
    <row r="2523" spans="9:10" s="5" customFormat="1" ht="12.75">
      <c r="I2523" s="4"/>
      <c r="J2523" s="4"/>
    </row>
    <row r="2524" spans="9:10" s="5" customFormat="1" ht="12.75">
      <c r="I2524" s="4"/>
      <c r="J2524" s="4"/>
    </row>
    <row r="2525" spans="9:10" s="5" customFormat="1" ht="12.75">
      <c r="I2525" s="4"/>
      <c r="J2525" s="4"/>
    </row>
    <row r="2526" spans="9:10" s="5" customFormat="1" ht="12.75">
      <c r="I2526" s="4"/>
      <c r="J2526" s="4"/>
    </row>
    <row r="2527" spans="9:10" s="5" customFormat="1" ht="12.75">
      <c r="I2527" s="4"/>
      <c r="J2527" s="4"/>
    </row>
    <row r="2528" spans="9:10" s="5" customFormat="1" ht="12.75">
      <c r="I2528" s="4"/>
      <c r="J2528" s="4"/>
    </row>
    <row r="2529" spans="9:10" s="5" customFormat="1" ht="12.75">
      <c r="I2529" s="4"/>
      <c r="J2529" s="4"/>
    </row>
    <row r="2530" spans="9:10" s="5" customFormat="1" ht="12.75">
      <c r="I2530" s="4"/>
      <c r="J2530" s="4"/>
    </row>
    <row r="2531" spans="9:10" s="5" customFormat="1" ht="12.75">
      <c r="I2531" s="4"/>
      <c r="J2531" s="4"/>
    </row>
    <row r="2532" spans="9:10" s="5" customFormat="1" ht="12.75">
      <c r="I2532" s="4"/>
      <c r="J2532" s="4"/>
    </row>
    <row r="2533" spans="9:10" s="5" customFormat="1" ht="12.75">
      <c r="I2533" s="4"/>
      <c r="J2533" s="4"/>
    </row>
    <row r="2534" spans="9:10" s="5" customFormat="1" ht="12.75">
      <c r="I2534" s="4"/>
      <c r="J2534" s="4"/>
    </row>
    <row r="2535" spans="9:10" s="5" customFormat="1" ht="12.75">
      <c r="I2535" s="4"/>
      <c r="J2535" s="4"/>
    </row>
    <row r="2536" spans="9:10" s="5" customFormat="1" ht="12.75">
      <c r="I2536" s="4"/>
      <c r="J2536" s="4"/>
    </row>
    <row r="2537" spans="9:10" s="5" customFormat="1" ht="12.75">
      <c r="I2537" s="4"/>
      <c r="J2537" s="4"/>
    </row>
    <row r="2538" spans="9:10" s="5" customFormat="1" ht="12.75">
      <c r="I2538" s="4"/>
      <c r="J2538" s="4"/>
    </row>
    <row r="2539" spans="9:10" s="5" customFormat="1" ht="12.75">
      <c r="I2539" s="4"/>
      <c r="J2539" s="4"/>
    </row>
    <row r="2540" spans="9:10" s="5" customFormat="1" ht="12.75">
      <c r="I2540" s="4"/>
      <c r="J2540" s="4"/>
    </row>
    <row r="2541" spans="9:10" s="5" customFormat="1" ht="12.75">
      <c r="I2541" s="4"/>
      <c r="J2541" s="4"/>
    </row>
    <row r="2542" spans="9:10" s="5" customFormat="1" ht="12.75">
      <c r="I2542" s="4"/>
      <c r="J2542" s="4"/>
    </row>
    <row r="2543" spans="9:10" s="5" customFormat="1" ht="12.75">
      <c r="I2543" s="4"/>
      <c r="J2543" s="4"/>
    </row>
    <row r="2544" spans="9:10" s="5" customFormat="1" ht="12.75">
      <c r="I2544" s="4"/>
      <c r="J2544" s="4"/>
    </row>
    <row r="2545" spans="9:10" s="5" customFormat="1" ht="12.75">
      <c r="I2545" s="4"/>
      <c r="J2545" s="4"/>
    </row>
    <row r="2546" spans="9:10" s="5" customFormat="1" ht="12.75">
      <c r="I2546" s="4"/>
      <c r="J2546" s="4"/>
    </row>
    <row r="2547" spans="9:10" s="5" customFormat="1" ht="12.75">
      <c r="I2547" s="4"/>
      <c r="J2547" s="4"/>
    </row>
    <row r="2548" spans="9:10" s="5" customFormat="1" ht="12.75">
      <c r="I2548" s="4"/>
      <c r="J2548" s="4"/>
    </row>
    <row r="2549" spans="9:10" s="5" customFormat="1" ht="12.75">
      <c r="I2549" s="4"/>
      <c r="J2549" s="4"/>
    </row>
    <row r="2550" spans="9:10" s="5" customFormat="1" ht="12.75">
      <c r="I2550" s="4"/>
      <c r="J2550" s="4"/>
    </row>
    <row r="2551" spans="9:10" s="5" customFormat="1" ht="12.75">
      <c r="I2551" s="4"/>
      <c r="J2551" s="4"/>
    </row>
    <row r="2552" spans="9:10" s="5" customFormat="1" ht="12.75">
      <c r="I2552" s="4"/>
      <c r="J2552" s="4"/>
    </row>
    <row r="2553" spans="9:10" s="5" customFormat="1" ht="12.75">
      <c r="I2553" s="4"/>
      <c r="J2553" s="4"/>
    </row>
    <row r="2554" spans="9:10" s="5" customFormat="1" ht="12.75">
      <c r="I2554" s="4"/>
      <c r="J2554" s="4"/>
    </row>
    <row r="2555" spans="9:10" s="5" customFormat="1" ht="12.75">
      <c r="I2555" s="4"/>
      <c r="J2555" s="4"/>
    </row>
    <row r="2556" spans="9:10" s="5" customFormat="1" ht="12.75">
      <c r="I2556" s="4"/>
      <c r="J2556" s="4"/>
    </row>
    <row r="2557" spans="9:10" s="5" customFormat="1" ht="12.75">
      <c r="I2557" s="4"/>
      <c r="J2557" s="4"/>
    </row>
    <row r="2558" spans="9:10" s="5" customFormat="1" ht="12.75">
      <c r="I2558" s="4"/>
      <c r="J2558" s="4"/>
    </row>
    <row r="2559" spans="9:10" s="5" customFormat="1" ht="12.75">
      <c r="I2559" s="4"/>
      <c r="J2559" s="4"/>
    </row>
    <row r="2560" spans="9:10" s="5" customFormat="1" ht="12.75">
      <c r="I2560" s="4"/>
      <c r="J2560" s="4"/>
    </row>
    <row r="2561" spans="9:10" s="5" customFormat="1" ht="12.75">
      <c r="I2561" s="4"/>
      <c r="J2561" s="4"/>
    </row>
    <row r="2562" spans="9:10" s="5" customFormat="1" ht="12.75">
      <c r="I2562" s="4"/>
      <c r="J2562" s="4"/>
    </row>
    <row r="2563" spans="9:10" s="5" customFormat="1" ht="12.75">
      <c r="I2563" s="4"/>
      <c r="J2563" s="4"/>
    </row>
    <row r="2564" spans="9:10" s="5" customFormat="1" ht="12.75">
      <c r="I2564" s="4"/>
      <c r="J2564" s="4"/>
    </row>
    <row r="2565" spans="9:10" s="5" customFormat="1" ht="12.75">
      <c r="I2565" s="4"/>
      <c r="J2565" s="4"/>
    </row>
    <row r="2566" spans="9:10" s="5" customFormat="1" ht="12.75">
      <c r="I2566" s="4"/>
      <c r="J2566" s="4"/>
    </row>
    <row r="2567" spans="9:10" s="5" customFormat="1" ht="12.75">
      <c r="I2567" s="4"/>
      <c r="J2567" s="4"/>
    </row>
    <row r="2568" spans="9:10" s="5" customFormat="1" ht="12.75">
      <c r="I2568" s="4"/>
      <c r="J2568" s="4"/>
    </row>
    <row r="2569" spans="9:10" s="5" customFormat="1" ht="12.75">
      <c r="I2569" s="4"/>
      <c r="J2569" s="4"/>
    </row>
    <row r="2570" spans="9:10" s="5" customFormat="1" ht="12.75">
      <c r="I2570" s="4"/>
      <c r="J2570" s="4"/>
    </row>
    <row r="2571" spans="9:10" s="5" customFormat="1" ht="12.75">
      <c r="I2571" s="4"/>
      <c r="J2571" s="4"/>
    </row>
    <row r="2572" spans="9:10" s="5" customFormat="1" ht="12.75">
      <c r="I2572" s="4"/>
      <c r="J2572" s="4"/>
    </row>
    <row r="2573" spans="9:10" s="5" customFormat="1" ht="12.75">
      <c r="I2573" s="4"/>
      <c r="J2573" s="4"/>
    </row>
    <row r="2574" spans="9:10" s="5" customFormat="1" ht="12.75">
      <c r="I2574" s="4"/>
      <c r="J2574" s="4"/>
    </row>
    <row r="2575" spans="9:10" s="5" customFormat="1" ht="12.75">
      <c r="I2575" s="4"/>
      <c r="J2575" s="4"/>
    </row>
    <row r="2576" spans="9:10" s="5" customFormat="1" ht="12.75">
      <c r="I2576" s="4"/>
      <c r="J2576" s="4"/>
    </row>
    <row r="2577" spans="9:10" s="5" customFormat="1" ht="12.75">
      <c r="I2577" s="4"/>
      <c r="J2577" s="4"/>
    </row>
    <row r="2578" spans="9:10" s="5" customFormat="1" ht="12.75">
      <c r="I2578" s="4"/>
      <c r="J2578" s="4"/>
    </row>
    <row r="2579" spans="9:10" s="5" customFormat="1" ht="12.75">
      <c r="I2579" s="4"/>
      <c r="J2579" s="4"/>
    </row>
    <row r="2580" spans="9:10" s="5" customFormat="1" ht="12.75">
      <c r="I2580" s="4"/>
      <c r="J2580" s="4"/>
    </row>
    <row r="2581" spans="9:10" s="5" customFormat="1" ht="12.75">
      <c r="I2581" s="4"/>
      <c r="J2581" s="4"/>
    </row>
    <row r="2582" spans="9:10" s="5" customFormat="1" ht="12.75">
      <c r="I2582" s="4"/>
      <c r="J2582" s="4"/>
    </row>
    <row r="2583" spans="9:10" s="5" customFormat="1" ht="12.75">
      <c r="I2583" s="4"/>
      <c r="J2583" s="4"/>
    </row>
    <row r="2584" spans="9:10" s="5" customFormat="1" ht="12.75">
      <c r="I2584" s="4"/>
      <c r="J2584" s="4"/>
    </row>
    <row r="2585" spans="9:10" s="5" customFormat="1" ht="12.75">
      <c r="I2585" s="4"/>
      <c r="J2585" s="4"/>
    </row>
    <row r="2586" spans="9:10" s="5" customFormat="1" ht="12.75">
      <c r="I2586" s="4"/>
      <c r="J2586" s="4"/>
    </row>
    <row r="2587" spans="9:10" s="5" customFormat="1" ht="12.75">
      <c r="I2587" s="4"/>
      <c r="J2587" s="4"/>
    </row>
    <row r="2588" spans="9:10" s="5" customFormat="1" ht="12.75">
      <c r="I2588" s="4"/>
      <c r="J2588" s="4"/>
    </row>
    <row r="2589" spans="9:10" s="5" customFormat="1" ht="12.75">
      <c r="I2589" s="4"/>
      <c r="J2589" s="4"/>
    </row>
    <row r="2590" spans="9:10" s="5" customFormat="1" ht="12.75">
      <c r="I2590" s="4"/>
      <c r="J2590" s="4"/>
    </row>
    <row r="2591" spans="9:10" s="5" customFormat="1" ht="12.75">
      <c r="I2591" s="4"/>
      <c r="J2591" s="4"/>
    </row>
    <row r="2592" spans="9:10" s="5" customFormat="1" ht="12.75">
      <c r="I2592" s="4"/>
      <c r="J2592" s="4"/>
    </row>
    <row r="2593" spans="9:10" s="5" customFormat="1" ht="12.75">
      <c r="I2593" s="4"/>
      <c r="J2593" s="4"/>
    </row>
    <row r="2594" spans="9:10" s="5" customFormat="1" ht="12.75">
      <c r="I2594" s="4"/>
      <c r="J2594" s="4"/>
    </row>
    <row r="2595" spans="9:10" s="5" customFormat="1" ht="12.75">
      <c r="I2595" s="4"/>
      <c r="J2595" s="4"/>
    </row>
    <row r="2596" spans="9:10" s="5" customFormat="1" ht="12.75">
      <c r="I2596" s="4"/>
      <c r="J2596" s="4"/>
    </row>
    <row r="2597" spans="9:10" s="5" customFormat="1" ht="12.75">
      <c r="I2597" s="4"/>
      <c r="J2597" s="4"/>
    </row>
    <row r="2598" spans="9:10" s="5" customFormat="1" ht="12.75">
      <c r="I2598" s="4"/>
      <c r="J2598" s="4"/>
    </row>
    <row r="2599" spans="9:10" s="5" customFormat="1" ht="12.75">
      <c r="I2599" s="4"/>
      <c r="J2599" s="4"/>
    </row>
    <row r="2600" spans="9:10" s="5" customFormat="1" ht="12.75">
      <c r="I2600" s="4"/>
      <c r="J2600" s="4"/>
    </row>
    <row r="2601" spans="9:10" s="5" customFormat="1" ht="12.75">
      <c r="I2601" s="4"/>
      <c r="J2601" s="4"/>
    </row>
    <row r="2602" spans="9:10" s="5" customFormat="1" ht="12.75">
      <c r="I2602" s="4"/>
      <c r="J2602" s="4"/>
    </row>
    <row r="2603" spans="9:10" s="5" customFormat="1" ht="12.75">
      <c r="I2603" s="4"/>
      <c r="J2603" s="4"/>
    </row>
    <row r="2604" spans="9:10" s="5" customFormat="1" ht="12.75">
      <c r="I2604" s="4"/>
      <c r="J2604" s="4"/>
    </row>
    <row r="2605" spans="9:10" s="5" customFormat="1" ht="12.75">
      <c r="I2605" s="4"/>
      <c r="J2605" s="4"/>
    </row>
    <row r="2606" spans="9:10" s="5" customFormat="1" ht="12.75">
      <c r="I2606" s="4"/>
      <c r="J2606" s="4"/>
    </row>
    <row r="2607" spans="9:10" s="5" customFormat="1" ht="12.75">
      <c r="I2607" s="4"/>
      <c r="J2607" s="4"/>
    </row>
    <row r="2608" spans="9:10" s="5" customFormat="1" ht="12.75">
      <c r="I2608" s="4"/>
      <c r="J2608" s="4"/>
    </row>
    <row r="2609" spans="9:10" s="5" customFormat="1" ht="12.75">
      <c r="I2609" s="4"/>
      <c r="J2609" s="4"/>
    </row>
    <row r="2610" spans="9:10" s="5" customFormat="1" ht="12.75">
      <c r="I2610" s="4"/>
      <c r="J2610" s="4"/>
    </row>
    <row r="2611" spans="9:10" s="5" customFormat="1" ht="12.75">
      <c r="I2611" s="4"/>
      <c r="J2611" s="4"/>
    </row>
    <row r="2612" spans="9:10" s="5" customFormat="1" ht="12.75">
      <c r="I2612" s="4"/>
      <c r="J2612" s="4"/>
    </row>
    <row r="2613" spans="9:10" s="5" customFormat="1" ht="12.75">
      <c r="I2613" s="4"/>
      <c r="J2613" s="4"/>
    </row>
    <row r="2614" spans="9:10" s="5" customFormat="1" ht="12.75">
      <c r="I2614" s="4"/>
      <c r="J2614" s="4"/>
    </row>
    <row r="2615" spans="9:10" s="5" customFormat="1" ht="12.75">
      <c r="I2615" s="4"/>
      <c r="J2615" s="4"/>
    </row>
    <row r="2616" spans="9:10" s="5" customFormat="1" ht="12.75">
      <c r="I2616" s="4"/>
      <c r="J2616" s="4"/>
    </row>
    <row r="2617" spans="9:10" s="5" customFormat="1" ht="12.75">
      <c r="I2617" s="4"/>
      <c r="J2617" s="4"/>
    </row>
    <row r="2618" spans="9:10" s="5" customFormat="1" ht="12.75">
      <c r="I2618" s="4"/>
      <c r="J2618" s="4"/>
    </row>
    <row r="2619" spans="9:10" s="5" customFormat="1" ht="12.75">
      <c r="I2619" s="4"/>
      <c r="J2619" s="4"/>
    </row>
    <row r="2620" spans="9:10" s="5" customFormat="1" ht="12.75">
      <c r="I2620" s="4"/>
      <c r="J2620" s="4"/>
    </row>
    <row r="2621" spans="9:10" s="5" customFormat="1" ht="12.75">
      <c r="I2621" s="4"/>
      <c r="J2621" s="4"/>
    </row>
    <row r="2622" spans="9:10" s="5" customFormat="1" ht="12.75">
      <c r="I2622" s="4"/>
      <c r="J2622" s="4"/>
    </row>
    <row r="2623" spans="9:10" s="5" customFormat="1" ht="12.75">
      <c r="I2623" s="4"/>
      <c r="J2623" s="4"/>
    </row>
    <row r="2624" spans="9:10" s="5" customFormat="1" ht="12.75">
      <c r="I2624" s="4"/>
      <c r="J2624" s="4"/>
    </row>
    <row r="2625" spans="9:10" s="5" customFormat="1" ht="12.75">
      <c r="I2625" s="4"/>
      <c r="J2625" s="4"/>
    </row>
    <row r="2626" spans="9:10" s="5" customFormat="1" ht="12.75">
      <c r="I2626" s="4"/>
      <c r="J2626" s="4"/>
    </row>
    <row r="2627" spans="9:10" s="5" customFormat="1" ht="12.75">
      <c r="I2627" s="4"/>
      <c r="J2627" s="4"/>
    </row>
    <row r="2628" spans="9:10" s="5" customFormat="1" ht="12.75">
      <c r="I2628" s="4"/>
      <c r="J2628" s="4"/>
    </row>
    <row r="2629" spans="9:10" s="5" customFormat="1" ht="12.75">
      <c r="I2629" s="4"/>
      <c r="J2629" s="4"/>
    </row>
    <row r="2630" spans="9:10" s="5" customFormat="1" ht="12.75">
      <c r="I2630" s="4"/>
      <c r="J2630" s="4"/>
    </row>
    <row r="2631" spans="9:10" s="5" customFormat="1" ht="12.75">
      <c r="I2631" s="4"/>
      <c r="J2631" s="4"/>
    </row>
    <row r="2632" spans="9:10" s="5" customFormat="1" ht="12.75">
      <c r="I2632" s="4"/>
      <c r="J2632" s="4"/>
    </row>
    <row r="2633" spans="9:10" s="5" customFormat="1" ht="12.75">
      <c r="I2633" s="4"/>
      <c r="J2633" s="4"/>
    </row>
    <row r="2634" spans="9:10" s="5" customFormat="1" ht="12.75">
      <c r="I2634" s="4"/>
      <c r="J2634" s="4"/>
    </row>
    <row r="2635" spans="9:10" s="5" customFormat="1" ht="12.75">
      <c r="I2635" s="4"/>
      <c r="J2635" s="4"/>
    </row>
    <row r="2636" spans="9:10" s="5" customFormat="1" ht="12.75">
      <c r="I2636" s="4"/>
      <c r="J2636" s="4"/>
    </row>
    <row r="2637" spans="9:10" s="5" customFormat="1" ht="12.75">
      <c r="I2637" s="4"/>
      <c r="J2637" s="4"/>
    </row>
    <row r="2638" spans="9:10" s="5" customFormat="1" ht="12.75">
      <c r="I2638" s="4"/>
      <c r="J2638" s="4"/>
    </row>
    <row r="2639" spans="9:10" s="5" customFormat="1" ht="12.75">
      <c r="I2639" s="4"/>
      <c r="J2639" s="4"/>
    </row>
    <row r="2640" spans="9:10" s="5" customFormat="1" ht="12.75">
      <c r="I2640" s="4"/>
      <c r="J2640" s="4"/>
    </row>
    <row r="2641" spans="9:10" s="5" customFormat="1" ht="12.75">
      <c r="I2641" s="4"/>
      <c r="J2641" s="4"/>
    </row>
    <row r="2642" spans="9:10" s="5" customFormat="1" ht="12.75">
      <c r="I2642" s="4"/>
      <c r="J2642" s="4"/>
    </row>
    <row r="2643" spans="9:10" s="5" customFormat="1" ht="12.75">
      <c r="I2643" s="4"/>
      <c r="J2643" s="4"/>
    </row>
    <row r="2644" spans="9:10" s="5" customFormat="1" ht="12.75">
      <c r="I2644" s="4"/>
      <c r="J2644" s="4"/>
    </row>
    <row r="2645" spans="9:10" s="5" customFormat="1" ht="12.75">
      <c r="I2645" s="4"/>
      <c r="J2645" s="4"/>
    </row>
    <row r="2646" spans="9:10" s="5" customFormat="1" ht="12.75">
      <c r="I2646" s="4"/>
      <c r="J2646" s="4"/>
    </row>
    <row r="2647" spans="9:10" s="5" customFormat="1" ht="12.75">
      <c r="I2647" s="4"/>
      <c r="J2647" s="4"/>
    </row>
    <row r="2648" spans="9:10" s="5" customFormat="1" ht="12.75">
      <c r="I2648" s="4"/>
      <c r="J2648" s="4"/>
    </row>
    <row r="2649" spans="9:10" s="5" customFormat="1" ht="12.75">
      <c r="I2649" s="4"/>
      <c r="J2649" s="4"/>
    </row>
    <row r="2650" spans="9:10" s="5" customFormat="1" ht="12.75">
      <c r="I2650" s="4"/>
      <c r="J2650" s="4"/>
    </row>
    <row r="2651" spans="9:10" s="5" customFormat="1" ht="12.75">
      <c r="I2651" s="4"/>
      <c r="J2651" s="4"/>
    </row>
    <row r="2652" spans="9:10" s="5" customFormat="1" ht="12.75">
      <c r="I2652" s="4"/>
      <c r="J2652" s="4"/>
    </row>
    <row r="2653" spans="9:10" s="5" customFormat="1" ht="12.75">
      <c r="I2653" s="4"/>
      <c r="J2653" s="4"/>
    </row>
    <row r="2654" spans="9:10" s="5" customFormat="1" ht="12.75">
      <c r="I2654" s="4"/>
      <c r="J2654" s="4"/>
    </row>
    <row r="2655" spans="9:10" s="5" customFormat="1" ht="12.75">
      <c r="I2655" s="4"/>
      <c r="J2655" s="4"/>
    </row>
    <row r="2656" spans="9:10" s="5" customFormat="1" ht="12.75">
      <c r="I2656" s="4"/>
      <c r="J2656" s="4"/>
    </row>
    <row r="2657" spans="9:10" s="5" customFormat="1" ht="12.75">
      <c r="I2657" s="4"/>
      <c r="J2657" s="4"/>
    </row>
    <row r="2658" spans="9:10" s="5" customFormat="1" ht="12.75">
      <c r="I2658" s="4"/>
      <c r="J2658" s="4"/>
    </row>
    <row r="2659" spans="9:10" s="5" customFormat="1" ht="12.75">
      <c r="I2659" s="4"/>
      <c r="J2659" s="4"/>
    </row>
    <row r="2660" spans="9:10" s="5" customFormat="1" ht="12.75">
      <c r="I2660" s="4"/>
      <c r="J2660" s="4"/>
    </row>
    <row r="2661" spans="9:10" s="5" customFormat="1" ht="12.75">
      <c r="I2661" s="4"/>
      <c r="J2661" s="4"/>
    </row>
    <row r="2662" spans="9:10" s="5" customFormat="1" ht="12.75">
      <c r="I2662" s="4"/>
      <c r="J2662" s="4"/>
    </row>
    <row r="2663" spans="9:10" s="5" customFormat="1" ht="12.75">
      <c r="I2663" s="4"/>
      <c r="J2663" s="4"/>
    </row>
    <row r="2664" spans="9:10" s="5" customFormat="1" ht="12.75">
      <c r="I2664" s="4"/>
      <c r="J2664" s="4"/>
    </row>
    <row r="2665" spans="9:10" s="5" customFormat="1" ht="12.75">
      <c r="I2665" s="4"/>
      <c r="J2665" s="4"/>
    </row>
    <row r="2666" spans="9:10" s="5" customFormat="1" ht="12.75">
      <c r="I2666" s="4"/>
      <c r="J2666" s="4"/>
    </row>
    <row r="2667" spans="9:10" s="5" customFormat="1" ht="12.75">
      <c r="I2667" s="4"/>
      <c r="J2667" s="4"/>
    </row>
    <row r="2668" spans="9:10" s="5" customFormat="1" ht="12.75">
      <c r="I2668" s="4"/>
      <c r="J2668" s="4"/>
    </row>
    <row r="2669" spans="9:10" s="5" customFormat="1" ht="12.75">
      <c r="I2669" s="4"/>
      <c r="J2669" s="4"/>
    </row>
    <row r="2670" spans="9:10" s="5" customFormat="1" ht="12.75">
      <c r="I2670" s="4"/>
      <c r="J2670" s="4"/>
    </row>
    <row r="2671" spans="9:10" s="5" customFormat="1" ht="12.75">
      <c r="I2671" s="4"/>
      <c r="J2671" s="4"/>
    </row>
    <row r="2672" spans="9:10" s="5" customFormat="1" ht="12.75">
      <c r="I2672" s="4"/>
      <c r="J2672" s="4"/>
    </row>
    <row r="2673" spans="9:10" s="5" customFormat="1" ht="12.75">
      <c r="I2673" s="4"/>
      <c r="J2673" s="4"/>
    </row>
    <row r="2674" spans="9:10" s="5" customFormat="1" ht="12.75">
      <c r="I2674" s="4"/>
      <c r="J2674" s="4"/>
    </row>
    <row r="2675" spans="9:10" s="5" customFormat="1" ht="12.75">
      <c r="I2675" s="4"/>
      <c r="J2675" s="4"/>
    </row>
    <row r="2676" spans="9:10" s="5" customFormat="1" ht="12.75">
      <c r="I2676" s="4"/>
      <c r="J2676" s="4"/>
    </row>
    <row r="2677" spans="9:10" s="5" customFormat="1" ht="12.75">
      <c r="I2677" s="4"/>
      <c r="J2677" s="4"/>
    </row>
    <row r="2678" spans="9:10" s="5" customFormat="1" ht="12.75">
      <c r="I2678" s="4"/>
      <c r="J2678" s="4"/>
    </row>
    <row r="2679" spans="9:10" s="5" customFormat="1" ht="12.75">
      <c r="I2679" s="4"/>
      <c r="J2679" s="4"/>
    </row>
    <row r="2680" spans="9:10" s="5" customFormat="1" ht="12.75">
      <c r="I2680" s="4"/>
      <c r="J2680" s="4"/>
    </row>
    <row r="2681" spans="9:10" s="5" customFormat="1" ht="12.75">
      <c r="I2681" s="4"/>
      <c r="J2681" s="4"/>
    </row>
    <row r="2682" spans="9:10" s="5" customFormat="1" ht="12.75">
      <c r="I2682" s="4"/>
      <c r="J2682" s="4"/>
    </row>
    <row r="2683" spans="9:10" s="5" customFormat="1" ht="12.75">
      <c r="I2683" s="4"/>
      <c r="J2683" s="4"/>
    </row>
    <row r="2684" spans="9:10" s="5" customFormat="1" ht="12.75">
      <c r="I2684" s="4"/>
      <c r="J2684" s="4"/>
    </row>
    <row r="2685" spans="9:10" s="5" customFormat="1" ht="12.75">
      <c r="I2685" s="4"/>
      <c r="J2685" s="4"/>
    </row>
    <row r="2686" spans="9:10" s="5" customFormat="1" ht="12.75">
      <c r="I2686" s="4"/>
      <c r="J2686" s="4"/>
    </row>
    <row r="2687" spans="9:10" s="5" customFormat="1" ht="12.75">
      <c r="I2687" s="4"/>
      <c r="J2687" s="4"/>
    </row>
    <row r="2688" spans="9:10" s="5" customFormat="1" ht="12.75">
      <c r="I2688" s="4"/>
      <c r="J2688" s="4"/>
    </row>
    <row r="2689" spans="9:10" s="5" customFormat="1" ht="12.75">
      <c r="I2689" s="4"/>
      <c r="J2689" s="4"/>
    </row>
    <row r="2690" spans="9:10" s="5" customFormat="1" ht="12.75">
      <c r="I2690" s="4"/>
      <c r="J2690" s="4"/>
    </row>
    <row r="2691" spans="9:10" s="5" customFormat="1" ht="12.75">
      <c r="I2691" s="4"/>
      <c r="J2691" s="4"/>
    </row>
    <row r="2692" spans="9:10" s="5" customFormat="1" ht="12.75">
      <c r="I2692" s="4"/>
      <c r="J2692" s="4"/>
    </row>
    <row r="2693" spans="9:10" s="5" customFormat="1" ht="12.75">
      <c r="I2693" s="4"/>
      <c r="J2693" s="4"/>
    </row>
    <row r="2694" spans="9:10" s="5" customFormat="1" ht="12.75">
      <c r="I2694" s="4"/>
      <c r="J2694" s="4"/>
    </row>
    <row r="2695" spans="9:10" s="5" customFormat="1" ht="12.75">
      <c r="I2695" s="4"/>
      <c r="J2695" s="4"/>
    </row>
    <row r="2696" spans="9:10" s="5" customFormat="1" ht="12.75">
      <c r="I2696" s="4"/>
      <c r="J2696" s="4"/>
    </row>
    <row r="2697" spans="9:10" s="5" customFormat="1" ht="12.75">
      <c r="I2697" s="4"/>
      <c r="J2697" s="4"/>
    </row>
    <row r="2698" spans="9:10" s="5" customFormat="1" ht="12.75">
      <c r="I2698" s="4"/>
      <c r="J2698" s="4"/>
    </row>
    <row r="2699" spans="9:10" s="5" customFormat="1" ht="12.75">
      <c r="I2699" s="4"/>
      <c r="J2699" s="4"/>
    </row>
    <row r="2700" spans="9:10" s="5" customFormat="1" ht="12.75">
      <c r="I2700" s="4"/>
      <c r="J2700" s="4"/>
    </row>
    <row r="2701" spans="9:10" s="5" customFormat="1" ht="12.75">
      <c r="I2701" s="4"/>
      <c r="J2701" s="4"/>
    </row>
    <row r="2702" spans="9:10" s="5" customFormat="1" ht="12.75">
      <c r="I2702" s="4"/>
      <c r="J2702" s="4"/>
    </row>
    <row r="2703" spans="9:10" s="5" customFormat="1" ht="12.75">
      <c r="I2703" s="4"/>
      <c r="J2703" s="4"/>
    </row>
    <row r="2704" spans="9:10" s="5" customFormat="1" ht="12.75">
      <c r="I2704" s="4"/>
      <c r="J2704" s="4"/>
    </row>
    <row r="2705" spans="9:10" s="5" customFormat="1" ht="12.75">
      <c r="I2705" s="4"/>
      <c r="J2705" s="4"/>
    </row>
    <row r="2706" spans="9:10" s="5" customFormat="1" ht="12.75">
      <c r="I2706" s="4"/>
      <c r="J2706" s="4"/>
    </row>
    <row r="2707" spans="9:10" s="5" customFormat="1" ht="12.75">
      <c r="I2707" s="4"/>
      <c r="J2707" s="4"/>
    </row>
    <row r="2708" spans="9:10" s="5" customFormat="1" ht="12.75">
      <c r="I2708" s="4"/>
      <c r="J2708" s="4"/>
    </row>
    <row r="2709" spans="9:10" s="5" customFormat="1" ht="12.75">
      <c r="I2709" s="4"/>
      <c r="J2709" s="4"/>
    </row>
    <row r="2710" spans="9:10" s="5" customFormat="1" ht="12.75">
      <c r="I2710" s="4"/>
      <c r="J2710" s="4"/>
    </row>
    <row r="2711" spans="9:10" s="5" customFormat="1" ht="12.75">
      <c r="I2711" s="4"/>
      <c r="J2711" s="4"/>
    </row>
    <row r="2712" spans="9:10" s="5" customFormat="1" ht="12.75">
      <c r="I2712" s="4"/>
      <c r="J2712" s="4"/>
    </row>
    <row r="2713" spans="9:10" s="5" customFormat="1" ht="12.75">
      <c r="I2713" s="4"/>
      <c r="J2713" s="4"/>
    </row>
    <row r="2714" spans="9:10" s="5" customFormat="1" ht="12.75">
      <c r="I2714" s="4"/>
      <c r="J2714" s="4"/>
    </row>
    <row r="2715" spans="9:10" s="5" customFormat="1" ht="12.75">
      <c r="I2715" s="4"/>
      <c r="J2715" s="4"/>
    </row>
    <row r="2716" spans="9:10" s="5" customFormat="1" ht="12.75">
      <c r="I2716" s="4"/>
      <c r="J2716" s="4"/>
    </row>
    <row r="2717" spans="9:10" s="5" customFormat="1" ht="12.75">
      <c r="I2717" s="4"/>
      <c r="J2717" s="4"/>
    </row>
    <row r="2718" spans="9:10" s="5" customFormat="1" ht="12.75">
      <c r="I2718" s="4"/>
      <c r="J2718" s="4"/>
    </row>
    <row r="2719" spans="9:10" s="5" customFormat="1" ht="12.75">
      <c r="I2719" s="4"/>
      <c r="J2719" s="4"/>
    </row>
    <row r="2720" spans="9:10" s="5" customFormat="1" ht="12.75">
      <c r="I2720" s="4"/>
      <c r="J2720" s="4"/>
    </row>
    <row r="2721" spans="9:10" s="5" customFormat="1" ht="12.75">
      <c r="I2721" s="4"/>
      <c r="J2721" s="4"/>
    </row>
    <row r="2722" spans="9:10" s="5" customFormat="1" ht="12.75">
      <c r="I2722" s="4"/>
      <c r="J2722" s="4"/>
    </row>
    <row r="2723" spans="9:10" s="5" customFormat="1" ht="12.75">
      <c r="I2723" s="4"/>
      <c r="J2723" s="4"/>
    </row>
    <row r="2724" spans="9:10" s="5" customFormat="1" ht="12.75">
      <c r="I2724" s="4"/>
      <c r="J2724" s="4"/>
    </row>
    <row r="2725" spans="9:10" s="5" customFormat="1" ht="12.75">
      <c r="I2725" s="4"/>
      <c r="J2725" s="4"/>
    </row>
    <row r="2726" spans="9:10" s="5" customFormat="1" ht="12.75">
      <c r="I2726" s="4"/>
      <c r="J2726" s="4"/>
    </row>
    <row r="2727" spans="9:10" s="5" customFormat="1" ht="12.75">
      <c r="I2727" s="4"/>
      <c r="J2727" s="4"/>
    </row>
    <row r="2728" spans="9:10" s="5" customFormat="1" ht="12.75">
      <c r="I2728" s="4"/>
      <c r="J2728" s="4"/>
    </row>
    <row r="2729" spans="9:10" s="5" customFormat="1" ht="12.75">
      <c r="I2729" s="4"/>
      <c r="J2729" s="4"/>
    </row>
    <row r="2730" spans="9:10" s="5" customFormat="1" ht="12.75">
      <c r="I2730" s="4"/>
      <c r="J2730" s="4"/>
    </row>
    <row r="2731" spans="9:10" s="5" customFormat="1" ht="12.75">
      <c r="I2731" s="4"/>
      <c r="J2731" s="4"/>
    </row>
    <row r="2732" spans="9:10" s="5" customFormat="1" ht="12.75">
      <c r="I2732" s="4"/>
      <c r="J2732" s="4"/>
    </row>
    <row r="2733" spans="9:10" s="5" customFormat="1" ht="12.75">
      <c r="I2733" s="4"/>
      <c r="J2733" s="4"/>
    </row>
    <row r="2734" spans="9:10" s="5" customFormat="1" ht="12.75">
      <c r="I2734" s="4"/>
      <c r="J2734" s="4"/>
    </row>
    <row r="2735" spans="9:10" s="5" customFormat="1" ht="12.75">
      <c r="I2735" s="4"/>
      <c r="J2735" s="4"/>
    </row>
    <row r="2736" spans="9:10" s="5" customFormat="1" ht="12.75">
      <c r="I2736" s="4"/>
      <c r="J2736" s="4"/>
    </row>
    <row r="2737" spans="9:10" s="5" customFormat="1" ht="12.75">
      <c r="I2737" s="4"/>
      <c r="J2737" s="4"/>
    </row>
    <row r="2738" spans="9:10" s="5" customFormat="1" ht="12.75">
      <c r="I2738" s="4"/>
      <c r="J2738" s="4"/>
    </row>
    <row r="2739" spans="9:10" s="5" customFormat="1" ht="12.75">
      <c r="I2739" s="4"/>
      <c r="J2739" s="4"/>
    </row>
    <row r="2740" spans="9:10" s="5" customFormat="1" ht="12.75">
      <c r="I2740" s="4"/>
      <c r="J2740" s="4"/>
    </row>
    <row r="2741" spans="9:10" s="5" customFormat="1" ht="12.75">
      <c r="I2741" s="4"/>
      <c r="J2741" s="4"/>
    </row>
    <row r="2742" spans="9:10" s="5" customFormat="1" ht="12.75">
      <c r="I2742" s="4"/>
      <c r="J2742" s="4"/>
    </row>
    <row r="2743" spans="9:10" s="5" customFormat="1" ht="12.75">
      <c r="I2743" s="4"/>
      <c r="J2743" s="4"/>
    </row>
    <row r="2744" spans="9:10" s="5" customFormat="1" ht="12.75">
      <c r="I2744" s="4"/>
      <c r="J2744" s="4"/>
    </row>
    <row r="2745" spans="9:10" s="5" customFormat="1" ht="12.75">
      <c r="I2745" s="4"/>
      <c r="J2745" s="4"/>
    </row>
    <row r="2746" spans="9:10" s="5" customFormat="1" ht="12.75">
      <c r="I2746" s="4"/>
      <c r="J2746" s="4"/>
    </row>
    <row r="2747" spans="9:10" s="5" customFormat="1" ht="12.75">
      <c r="I2747" s="4"/>
      <c r="J2747" s="4"/>
    </row>
    <row r="2748" spans="9:10" s="5" customFormat="1" ht="12.75">
      <c r="I2748" s="4"/>
      <c r="J2748" s="4"/>
    </row>
    <row r="2749" spans="9:10" s="5" customFormat="1" ht="12.75">
      <c r="I2749" s="4"/>
      <c r="J2749" s="4"/>
    </row>
    <row r="2750" spans="9:10" s="5" customFormat="1" ht="12.75">
      <c r="I2750" s="4"/>
      <c r="J2750" s="4"/>
    </row>
    <row r="2751" spans="9:10" s="5" customFormat="1" ht="12.75">
      <c r="I2751" s="4"/>
      <c r="J2751" s="4"/>
    </row>
    <row r="2752" spans="9:10" s="5" customFormat="1" ht="12.75">
      <c r="I2752" s="4"/>
      <c r="J2752" s="4"/>
    </row>
    <row r="2753" spans="9:10" s="5" customFormat="1" ht="12.75">
      <c r="I2753" s="4"/>
      <c r="J2753" s="4"/>
    </row>
    <row r="2754" spans="9:10" s="5" customFormat="1" ht="12.75">
      <c r="I2754" s="4"/>
      <c r="J2754" s="4"/>
    </row>
    <row r="2755" spans="9:10" s="5" customFormat="1" ht="12.75">
      <c r="I2755" s="4"/>
      <c r="J2755" s="4"/>
    </row>
    <row r="2756" spans="9:10" s="5" customFormat="1" ht="12.75">
      <c r="I2756" s="4"/>
      <c r="J2756" s="4"/>
    </row>
    <row r="2757" spans="9:10" s="5" customFormat="1" ht="12.75">
      <c r="I2757" s="4"/>
      <c r="J2757" s="4"/>
    </row>
    <row r="2758" spans="9:10" s="5" customFormat="1" ht="12.75">
      <c r="I2758" s="4"/>
      <c r="J2758" s="4"/>
    </row>
    <row r="2759" spans="9:10" s="5" customFormat="1" ht="12.75">
      <c r="I2759" s="4"/>
      <c r="J2759" s="4"/>
    </row>
    <row r="2760" spans="9:10" s="5" customFormat="1" ht="12.75">
      <c r="I2760" s="4"/>
      <c r="J2760" s="4"/>
    </row>
    <row r="2761" spans="9:10" s="5" customFormat="1" ht="12.75">
      <c r="I2761" s="4"/>
      <c r="J2761" s="4"/>
    </row>
    <row r="2762" spans="9:10" s="5" customFormat="1" ht="12.75">
      <c r="I2762" s="4"/>
      <c r="J2762" s="4"/>
    </row>
    <row r="2763" spans="9:10" s="5" customFormat="1" ht="12.75">
      <c r="I2763" s="4"/>
      <c r="J2763" s="4"/>
    </row>
    <row r="2764" spans="9:10" s="5" customFormat="1" ht="12.75">
      <c r="I2764" s="4"/>
      <c r="J2764" s="4"/>
    </row>
    <row r="2765" spans="9:10" s="5" customFormat="1" ht="12.75">
      <c r="I2765" s="4"/>
      <c r="J2765" s="4"/>
    </row>
    <row r="2766" spans="9:10" s="5" customFormat="1" ht="12.75">
      <c r="I2766" s="4"/>
      <c r="J2766" s="4"/>
    </row>
    <row r="2767" spans="9:10" s="5" customFormat="1" ht="12.75">
      <c r="I2767" s="4"/>
      <c r="J2767" s="4"/>
    </row>
    <row r="2768" spans="9:10" s="5" customFormat="1" ht="12.75">
      <c r="I2768" s="4"/>
      <c r="J2768" s="4"/>
    </row>
    <row r="2769" spans="9:10" s="5" customFormat="1" ht="12.75">
      <c r="I2769" s="4"/>
      <c r="J2769" s="4"/>
    </row>
    <row r="2770" spans="9:10" s="5" customFormat="1" ht="12.75">
      <c r="I2770" s="4"/>
      <c r="J2770" s="4"/>
    </row>
    <row r="2771" spans="9:10" s="5" customFormat="1" ht="12.75">
      <c r="I2771" s="4"/>
      <c r="J2771" s="4"/>
    </row>
    <row r="2772" spans="9:10" s="5" customFormat="1" ht="12.75">
      <c r="I2772" s="4"/>
      <c r="J2772" s="4"/>
    </row>
    <row r="2773" spans="9:10" s="5" customFormat="1" ht="12.75">
      <c r="I2773" s="4"/>
      <c r="J2773" s="4"/>
    </row>
    <row r="2774" spans="9:10" s="5" customFormat="1" ht="12.75">
      <c r="I2774" s="4"/>
      <c r="J2774" s="4"/>
    </row>
    <row r="2775" spans="9:10" s="5" customFormat="1" ht="12.75">
      <c r="I2775" s="4"/>
      <c r="J2775" s="4"/>
    </row>
    <row r="2776" spans="9:10" s="5" customFormat="1" ht="12.75">
      <c r="I2776" s="4"/>
      <c r="J2776" s="4"/>
    </row>
    <row r="2777" spans="9:10" s="5" customFormat="1" ht="12.75">
      <c r="I2777" s="4"/>
      <c r="J2777" s="4"/>
    </row>
    <row r="2778" spans="9:10" s="5" customFormat="1" ht="12.75">
      <c r="I2778" s="4"/>
      <c r="J2778" s="4"/>
    </row>
    <row r="2779" spans="9:10" s="5" customFormat="1" ht="12.75">
      <c r="I2779" s="4"/>
      <c r="J2779" s="4"/>
    </row>
    <row r="2780" spans="9:10" s="5" customFormat="1" ht="12.75">
      <c r="I2780" s="4"/>
      <c r="J2780" s="4"/>
    </row>
    <row r="2781" spans="9:10" s="5" customFormat="1" ht="12.75">
      <c r="I2781" s="4"/>
      <c r="J2781" s="4"/>
    </row>
    <row r="2782" spans="9:10" s="5" customFormat="1" ht="12.75">
      <c r="I2782" s="4"/>
      <c r="J2782" s="4"/>
    </row>
    <row r="2783" spans="9:10" s="5" customFormat="1" ht="12.75">
      <c r="I2783" s="4"/>
      <c r="J2783" s="4"/>
    </row>
    <row r="2784" spans="9:10" s="5" customFormat="1" ht="12.75">
      <c r="I2784" s="4"/>
      <c r="J2784" s="4"/>
    </row>
    <row r="2785" spans="9:10" s="5" customFormat="1" ht="12.75">
      <c r="I2785" s="4"/>
      <c r="J2785" s="4"/>
    </row>
    <row r="2786" spans="9:10" s="5" customFormat="1" ht="12.75">
      <c r="I2786" s="4"/>
      <c r="J2786" s="4"/>
    </row>
    <row r="2787" spans="9:10" s="5" customFormat="1" ht="12.75">
      <c r="I2787" s="4"/>
      <c r="J2787" s="4"/>
    </row>
    <row r="2788" spans="9:10" s="5" customFormat="1" ht="12.75">
      <c r="I2788" s="4"/>
      <c r="J2788" s="4"/>
    </row>
    <row r="2789" spans="9:10" s="5" customFormat="1" ht="12.75">
      <c r="I2789" s="4"/>
      <c r="J2789" s="4"/>
    </row>
    <row r="2790" spans="9:10" s="5" customFormat="1" ht="12.75">
      <c r="I2790" s="4"/>
      <c r="J2790" s="4"/>
    </row>
    <row r="2791" spans="9:10" s="5" customFormat="1" ht="12.75">
      <c r="I2791" s="4"/>
      <c r="J2791" s="4"/>
    </row>
    <row r="2792" spans="9:10" s="5" customFormat="1" ht="12.75">
      <c r="I2792" s="4"/>
      <c r="J2792" s="4"/>
    </row>
    <row r="2793" spans="9:10" s="5" customFormat="1" ht="12.75">
      <c r="I2793" s="4"/>
      <c r="J2793" s="4"/>
    </row>
    <row r="2794" spans="9:10" s="5" customFormat="1" ht="12.75">
      <c r="I2794" s="4"/>
      <c r="J2794" s="4"/>
    </row>
    <row r="2795" spans="9:10" s="5" customFormat="1" ht="12.75">
      <c r="I2795" s="4"/>
      <c r="J2795" s="4"/>
    </row>
    <row r="2796" spans="9:10" s="5" customFormat="1" ht="12.75">
      <c r="I2796" s="4"/>
      <c r="J2796" s="4"/>
    </row>
    <row r="2797" spans="9:10" s="5" customFormat="1" ht="12.75">
      <c r="I2797" s="4"/>
      <c r="J2797" s="4"/>
    </row>
    <row r="2798" spans="9:10" s="5" customFormat="1" ht="12.75">
      <c r="I2798" s="4"/>
      <c r="J2798" s="4"/>
    </row>
    <row r="2799" spans="9:10" s="5" customFormat="1" ht="12.75">
      <c r="I2799" s="4"/>
      <c r="J2799" s="4"/>
    </row>
    <row r="2800" spans="9:10" s="5" customFormat="1" ht="12.75">
      <c r="I2800" s="4"/>
      <c r="J2800" s="4"/>
    </row>
    <row r="2801" spans="9:10" s="5" customFormat="1" ht="12.75">
      <c r="I2801" s="4"/>
      <c r="J2801" s="4"/>
    </row>
    <row r="2802" spans="9:10" s="5" customFormat="1" ht="12.75">
      <c r="I2802" s="4"/>
      <c r="J2802" s="4"/>
    </row>
    <row r="2803" spans="9:10" s="5" customFormat="1" ht="12.75">
      <c r="I2803" s="4"/>
      <c r="J2803" s="4"/>
    </row>
    <row r="2804" spans="9:10" s="5" customFormat="1" ht="12.75">
      <c r="I2804" s="4"/>
      <c r="J2804" s="4"/>
    </row>
    <row r="2805" spans="9:10" s="5" customFormat="1" ht="12.75">
      <c r="I2805" s="4"/>
      <c r="J2805" s="4"/>
    </row>
    <row r="2806" spans="9:10" s="5" customFormat="1" ht="12.75">
      <c r="I2806" s="4"/>
      <c r="J2806" s="4"/>
    </row>
    <row r="2807" spans="9:10" s="5" customFormat="1" ht="12.75">
      <c r="I2807" s="4"/>
      <c r="J2807" s="4"/>
    </row>
    <row r="2808" spans="9:10" s="5" customFormat="1" ht="12.75">
      <c r="I2808" s="4"/>
      <c r="J2808" s="4"/>
    </row>
    <row r="2809" spans="9:10" s="5" customFormat="1" ht="12.75">
      <c r="I2809" s="4"/>
      <c r="J2809" s="4"/>
    </row>
    <row r="2810" spans="9:10" s="5" customFormat="1" ht="12.75">
      <c r="I2810" s="4"/>
      <c r="J2810" s="4"/>
    </row>
    <row r="2811" spans="9:10" s="5" customFormat="1" ht="12.75">
      <c r="I2811" s="4"/>
      <c r="J2811" s="4"/>
    </row>
    <row r="2812" spans="9:10" s="5" customFormat="1" ht="12.75">
      <c r="I2812" s="4"/>
      <c r="J2812" s="4"/>
    </row>
    <row r="2813" spans="9:10" s="5" customFormat="1" ht="12.75">
      <c r="I2813" s="4"/>
      <c r="J2813" s="4"/>
    </row>
    <row r="2814" spans="9:10" s="5" customFormat="1" ht="12.75">
      <c r="I2814" s="4"/>
      <c r="J2814" s="4"/>
    </row>
    <row r="2815" spans="9:10" s="5" customFormat="1" ht="12.75">
      <c r="I2815" s="4"/>
      <c r="J2815" s="4"/>
    </row>
    <row r="2816" spans="9:10" s="5" customFormat="1" ht="12.75">
      <c r="I2816" s="4"/>
      <c r="J2816" s="4"/>
    </row>
    <row r="2817" spans="9:10" s="5" customFormat="1" ht="12.75">
      <c r="I2817" s="4"/>
      <c r="J2817" s="4"/>
    </row>
    <row r="2818" spans="9:10" s="5" customFormat="1" ht="12.75">
      <c r="I2818" s="4"/>
      <c r="J2818" s="4"/>
    </row>
    <row r="2819" spans="9:10" s="5" customFormat="1" ht="12.75">
      <c r="I2819" s="4"/>
      <c r="J2819" s="4"/>
    </row>
    <row r="2820" spans="9:10" s="5" customFormat="1" ht="12.75">
      <c r="I2820" s="4"/>
      <c r="J2820" s="4"/>
    </row>
    <row r="2821" spans="9:10" s="5" customFormat="1" ht="12.75">
      <c r="I2821" s="4"/>
      <c r="J2821" s="4"/>
    </row>
    <row r="2822" spans="9:10" s="5" customFormat="1" ht="12.75">
      <c r="I2822" s="4"/>
      <c r="J2822" s="4"/>
    </row>
    <row r="2823" spans="9:10" s="5" customFormat="1" ht="12.75">
      <c r="I2823" s="4"/>
      <c r="J2823" s="4"/>
    </row>
    <row r="2824" spans="9:10" s="5" customFormat="1" ht="12.75">
      <c r="I2824" s="4"/>
      <c r="J2824" s="4"/>
    </row>
    <row r="2825" spans="9:10" s="5" customFormat="1" ht="12.75">
      <c r="I2825" s="4"/>
      <c r="J2825" s="4"/>
    </row>
    <row r="2826" spans="9:10" s="5" customFormat="1" ht="12.75">
      <c r="I2826" s="4"/>
      <c r="J2826" s="4"/>
    </row>
    <row r="2827" spans="9:10" s="5" customFormat="1" ht="12.75">
      <c r="I2827" s="4"/>
      <c r="J2827" s="4"/>
    </row>
    <row r="2828" spans="9:10" s="5" customFormat="1" ht="12.75">
      <c r="I2828" s="4"/>
      <c r="J2828" s="4"/>
    </row>
    <row r="2829" spans="9:10" s="5" customFormat="1" ht="12.75">
      <c r="I2829" s="4"/>
      <c r="J2829" s="4"/>
    </row>
    <row r="2830" spans="9:10" s="5" customFormat="1" ht="12.75">
      <c r="I2830" s="4"/>
      <c r="J2830" s="4"/>
    </row>
    <row r="2831" spans="9:10" s="5" customFormat="1" ht="12.75">
      <c r="I2831" s="4"/>
      <c r="J2831" s="4"/>
    </row>
    <row r="2832" spans="9:10" s="5" customFormat="1" ht="12.75">
      <c r="I2832" s="4"/>
      <c r="J2832" s="4"/>
    </row>
    <row r="2833" spans="9:10" s="5" customFormat="1" ht="12.75">
      <c r="I2833" s="4"/>
      <c r="J2833" s="4"/>
    </row>
    <row r="2834" spans="9:10" s="5" customFormat="1" ht="12.75">
      <c r="I2834" s="4"/>
      <c r="J2834" s="4"/>
    </row>
    <row r="2835" spans="9:10" s="5" customFormat="1" ht="12.75">
      <c r="I2835" s="4"/>
      <c r="J2835" s="4"/>
    </row>
    <row r="2836" spans="9:10" s="5" customFormat="1" ht="12.75">
      <c r="I2836" s="4"/>
      <c r="J2836" s="4"/>
    </row>
    <row r="2837" spans="9:10" s="5" customFormat="1" ht="12.75">
      <c r="I2837" s="4"/>
      <c r="J2837" s="4"/>
    </row>
    <row r="2838" spans="9:10" s="5" customFormat="1" ht="12.75">
      <c r="I2838" s="4"/>
      <c r="J2838" s="4"/>
    </row>
    <row r="2839" spans="9:10" s="5" customFormat="1" ht="12.75">
      <c r="I2839" s="4"/>
      <c r="J2839" s="4"/>
    </row>
    <row r="2840" spans="9:10" s="5" customFormat="1" ht="12.75">
      <c r="I2840" s="4"/>
      <c r="J2840" s="4"/>
    </row>
    <row r="2841" spans="9:10" s="5" customFormat="1" ht="12.75">
      <c r="I2841" s="4"/>
      <c r="J2841" s="4"/>
    </row>
    <row r="2842" spans="9:10" s="5" customFormat="1" ht="12.75">
      <c r="I2842" s="4"/>
      <c r="J2842" s="4"/>
    </row>
    <row r="2843" spans="9:10" s="5" customFormat="1" ht="12.75">
      <c r="I2843" s="4"/>
      <c r="J2843" s="4"/>
    </row>
    <row r="2844" spans="9:10" s="5" customFormat="1" ht="12.75">
      <c r="I2844" s="4"/>
      <c r="J2844" s="4"/>
    </row>
    <row r="2845" spans="9:10" s="5" customFormat="1" ht="12.75">
      <c r="I2845" s="4"/>
      <c r="J2845" s="4"/>
    </row>
    <row r="2846" spans="9:10" s="5" customFormat="1" ht="12.75">
      <c r="I2846" s="4"/>
      <c r="J2846" s="4"/>
    </row>
    <row r="2847" spans="9:10" s="5" customFormat="1" ht="12.75">
      <c r="I2847" s="4"/>
      <c r="J2847" s="4"/>
    </row>
    <row r="2848" spans="9:10" s="5" customFormat="1" ht="12.75">
      <c r="I2848" s="4"/>
      <c r="J2848" s="4"/>
    </row>
    <row r="2849" spans="9:10" s="5" customFormat="1" ht="12.75">
      <c r="I2849" s="4"/>
      <c r="J2849" s="4"/>
    </row>
    <row r="2850" spans="9:10" s="5" customFormat="1" ht="12.75">
      <c r="I2850" s="4"/>
      <c r="J2850" s="4"/>
    </row>
    <row r="2851" spans="9:10" s="5" customFormat="1" ht="12.75">
      <c r="I2851" s="4"/>
      <c r="J2851" s="4"/>
    </row>
    <row r="2852" spans="9:10" s="5" customFormat="1" ht="12.75">
      <c r="I2852" s="4"/>
      <c r="J2852" s="4"/>
    </row>
    <row r="2853" spans="9:10" s="5" customFormat="1" ht="12.75">
      <c r="I2853" s="4"/>
      <c r="J2853" s="4"/>
    </row>
    <row r="2854" spans="9:10" s="5" customFormat="1" ht="12.75">
      <c r="I2854" s="4"/>
      <c r="J2854" s="4"/>
    </row>
    <row r="2855" spans="9:10" s="5" customFormat="1" ht="12.75">
      <c r="I2855" s="4"/>
      <c r="J2855" s="4"/>
    </row>
    <row r="2856" spans="9:10" s="5" customFormat="1" ht="12.75">
      <c r="I2856" s="4"/>
      <c r="J2856" s="4"/>
    </row>
    <row r="2857" spans="9:10" s="5" customFormat="1" ht="12.75">
      <c r="I2857" s="4"/>
      <c r="J2857" s="4"/>
    </row>
    <row r="2858" spans="9:10" s="5" customFormat="1" ht="12.75">
      <c r="I2858" s="4"/>
      <c r="J2858" s="4"/>
    </row>
    <row r="2859" spans="9:10" s="5" customFormat="1" ht="12.75">
      <c r="I2859" s="4"/>
      <c r="J2859" s="4"/>
    </row>
    <row r="2860" spans="9:10" s="5" customFormat="1" ht="12.75">
      <c r="I2860" s="4"/>
      <c r="J2860" s="4"/>
    </row>
    <row r="2861" spans="9:10" s="5" customFormat="1" ht="12.75">
      <c r="I2861" s="4"/>
      <c r="J2861" s="4"/>
    </row>
    <row r="2862" spans="9:10" s="5" customFormat="1" ht="12.75">
      <c r="I2862" s="4"/>
      <c r="J2862" s="4"/>
    </row>
    <row r="2863" spans="9:10" s="5" customFormat="1" ht="12.75">
      <c r="I2863" s="4"/>
      <c r="J2863" s="4"/>
    </row>
    <row r="2864" spans="9:10" s="5" customFormat="1" ht="12.75">
      <c r="I2864" s="4"/>
      <c r="J2864" s="4"/>
    </row>
    <row r="2865" spans="9:10" s="5" customFormat="1" ht="12.75">
      <c r="I2865" s="4"/>
      <c r="J2865" s="4"/>
    </row>
    <row r="2866" spans="9:10" s="5" customFormat="1" ht="12.75">
      <c r="I2866" s="4"/>
      <c r="J2866" s="4"/>
    </row>
    <row r="2867" spans="9:10" s="5" customFormat="1" ht="12.75">
      <c r="I2867" s="4"/>
      <c r="J2867" s="4"/>
    </row>
    <row r="2868" spans="9:10" s="5" customFormat="1" ht="12.75">
      <c r="I2868" s="4"/>
      <c r="J2868" s="4"/>
    </row>
    <row r="2869" spans="9:10" s="5" customFormat="1" ht="12.75">
      <c r="I2869" s="4"/>
      <c r="J2869" s="4"/>
    </row>
    <row r="2870" spans="9:10" s="5" customFormat="1" ht="12.75">
      <c r="I2870" s="4"/>
      <c r="J2870" s="4"/>
    </row>
    <row r="2871" spans="9:10" s="5" customFormat="1" ht="12.75">
      <c r="I2871" s="4"/>
      <c r="J2871" s="4"/>
    </row>
    <row r="2872" spans="9:10" s="5" customFormat="1" ht="12.75">
      <c r="I2872" s="4"/>
      <c r="J2872" s="4"/>
    </row>
    <row r="2873" spans="9:10" s="5" customFormat="1" ht="12.75">
      <c r="I2873" s="4"/>
      <c r="J2873" s="4"/>
    </row>
    <row r="2874" spans="9:10" s="5" customFormat="1" ht="12.75">
      <c r="I2874" s="4"/>
      <c r="J2874" s="4"/>
    </row>
    <row r="2875" spans="9:10" s="5" customFormat="1" ht="12.75">
      <c r="I2875" s="4"/>
      <c r="J2875" s="4"/>
    </row>
    <row r="2876" spans="9:10" s="5" customFormat="1" ht="12.75">
      <c r="I2876" s="4"/>
      <c r="J2876" s="4"/>
    </row>
    <row r="2877" spans="9:10" s="5" customFormat="1" ht="12.75">
      <c r="I2877" s="4"/>
      <c r="J2877" s="4"/>
    </row>
    <row r="2878" spans="9:10" s="5" customFormat="1" ht="12.75">
      <c r="I2878" s="4"/>
      <c r="J2878" s="4"/>
    </row>
    <row r="2879" spans="9:10" s="5" customFormat="1" ht="12.75">
      <c r="I2879" s="4"/>
      <c r="J2879" s="4"/>
    </row>
    <row r="2880" spans="9:10" s="5" customFormat="1" ht="12.75">
      <c r="I2880" s="4"/>
      <c r="J2880" s="4"/>
    </row>
    <row r="2881" spans="9:10" s="5" customFormat="1" ht="12.75">
      <c r="I2881" s="4"/>
      <c r="J2881" s="4"/>
    </row>
    <row r="2882" spans="9:10" s="5" customFormat="1" ht="12.75">
      <c r="I2882" s="4"/>
      <c r="J2882" s="4"/>
    </row>
    <row r="2883" spans="9:10" s="5" customFormat="1" ht="12.75">
      <c r="I2883" s="4"/>
      <c r="J2883" s="4"/>
    </row>
    <row r="2884" spans="9:10" s="5" customFormat="1" ht="12.75">
      <c r="I2884" s="4"/>
      <c r="J2884" s="4"/>
    </row>
    <row r="2885" spans="9:10" s="5" customFormat="1" ht="12.75">
      <c r="I2885" s="4"/>
      <c r="J2885" s="4"/>
    </row>
    <row r="2886" spans="9:10" s="5" customFormat="1" ht="12.75">
      <c r="I2886" s="4"/>
      <c r="J2886" s="4"/>
    </row>
    <row r="2887" spans="9:10" s="5" customFormat="1" ht="12.75">
      <c r="I2887" s="4"/>
      <c r="J2887" s="4"/>
    </row>
    <row r="2888" spans="9:10" s="5" customFormat="1" ht="12.75">
      <c r="I2888" s="4"/>
      <c r="J2888" s="4"/>
    </row>
    <row r="2889" spans="9:10" s="5" customFormat="1" ht="12.75">
      <c r="I2889" s="4"/>
      <c r="J2889" s="4"/>
    </row>
    <row r="2890" spans="9:10" s="5" customFormat="1" ht="12.75">
      <c r="I2890" s="4"/>
      <c r="J2890" s="4"/>
    </row>
    <row r="2891" spans="9:10" s="5" customFormat="1" ht="12.75">
      <c r="I2891" s="4"/>
      <c r="J2891" s="4"/>
    </row>
    <row r="2892" spans="9:10" s="5" customFormat="1" ht="12.75">
      <c r="I2892" s="4"/>
      <c r="J2892" s="4"/>
    </row>
    <row r="2893" spans="9:10" s="5" customFormat="1" ht="12.75">
      <c r="I2893" s="4"/>
      <c r="J2893" s="4"/>
    </row>
    <row r="2894" spans="9:10" s="5" customFormat="1" ht="12.75">
      <c r="I2894" s="4"/>
      <c r="J2894" s="4"/>
    </row>
    <row r="2895" spans="9:10" s="5" customFormat="1" ht="12.75">
      <c r="I2895" s="4"/>
      <c r="J2895" s="4"/>
    </row>
    <row r="2896" spans="9:10" s="5" customFormat="1" ht="12.75">
      <c r="I2896" s="4"/>
      <c r="J2896" s="4"/>
    </row>
    <row r="2897" spans="9:10" s="5" customFormat="1" ht="12.75">
      <c r="I2897" s="4"/>
      <c r="J2897" s="4"/>
    </row>
    <row r="2898" spans="9:10" s="5" customFormat="1" ht="12.75">
      <c r="I2898" s="4"/>
      <c r="J2898" s="4"/>
    </row>
    <row r="2899" spans="9:10" s="5" customFormat="1" ht="12.75">
      <c r="I2899" s="4"/>
      <c r="J2899" s="4"/>
    </row>
    <row r="2900" spans="9:10" s="5" customFormat="1" ht="12.75">
      <c r="I2900" s="4"/>
      <c r="J2900" s="4"/>
    </row>
    <row r="2901" spans="9:10" s="5" customFormat="1" ht="12.75">
      <c r="I2901" s="4"/>
      <c r="J2901" s="4"/>
    </row>
    <row r="2902" spans="9:10" s="5" customFormat="1" ht="12.75">
      <c r="I2902" s="4"/>
      <c r="J2902" s="4"/>
    </row>
    <row r="2903" spans="9:10" s="5" customFormat="1" ht="12.75">
      <c r="I2903" s="4"/>
      <c r="J2903" s="4"/>
    </row>
    <row r="2904" spans="9:10" s="5" customFormat="1" ht="12.75">
      <c r="I2904" s="4"/>
      <c r="J2904" s="4"/>
    </row>
    <row r="2905" spans="9:10" s="5" customFormat="1" ht="12.75">
      <c r="I2905" s="4"/>
      <c r="J2905" s="4"/>
    </row>
    <row r="2906" spans="9:10" s="5" customFormat="1" ht="12.75">
      <c r="I2906" s="4"/>
      <c r="J2906" s="4"/>
    </row>
    <row r="2907" spans="9:10" s="5" customFormat="1" ht="12.75">
      <c r="I2907" s="4"/>
      <c r="J2907" s="4"/>
    </row>
    <row r="2908" spans="9:10" s="5" customFormat="1" ht="12.75">
      <c r="I2908" s="4"/>
      <c r="J2908" s="4"/>
    </row>
    <row r="2909" spans="9:10" s="5" customFormat="1" ht="12.75">
      <c r="I2909" s="4"/>
      <c r="J2909" s="4"/>
    </row>
    <row r="2910" spans="9:10" s="5" customFormat="1" ht="12.75">
      <c r="I2910" s="4"/>
      <c r="J2910" s="4"/>
    </row>
    <row r="2911" spans="9:10" s="5" customFormat="1" ht="12.75">
      <c r="I2911" s="4"/>
      <c r="J2911" s="4"/>
    </row>
    <row r="2912" spans="9:10" s="5" customFormat="1" ht="12.75">
      <c r="I2912" s="4"/>
      <c r="J2912" s="4"/>
    </row>
    <row r="2913" spans="9:10" s="5" customFormat="1" ht="12.75">
      <c r="I2913" s="4"/>
      <c r="J2913" s="4"/>
    </row>
    <row r="2914" spans="9:10" s="5" customFormat="1" ht="12.75">
      <c r="I2914" s="4"/>
      <c r="J2914" s="4"/>
    </row>
    <row r="2915" spans="9:10" s="5" customFormat="1" ht="12.75">
      <c r="I2915" s="4"/>
      <c r="J2915" s="4"/>
    </row>
    <row r="2916" spans="9:10" s="5" customFormat="1" ht="12.75">
      <c r="I2916" s="4"/>
      <c r="J2916" s="4"/>
    </row>
    <row r="2917" spans="9:10" s="5" customFormat="1" ht="12.75">
      <c r="I2917" s="4"/>
      <c r="J2917" s="4"/>
    </row>
    <row r="2918" spans="9:10" s="5" customFormat="1" ht="12.75">
      <c r="I2918" s="4"/>
      <c r="J2918" s="4"/>
    </row>
    <row r="2919" spans="9:10" s="5" customFormat="1" ht="12.75">
      <c r="I2919" s="4"/>
      <c r="J2919" s="4"/>
    </row>
    <row r="2920" spans="9:10" s="5" customFormat="1" ht="12.75">
      <c r="I2920" s="4"/>
      <c r="J2920" s="4"/>
    </row>
    <row r="2921" spans="9:10" s="5" customFormat="1" ht="12.75">
      <c r="I2921" s="4"/>
      <c r="J2921" s="4"/>
    </row>
    <row r="2922" spans="9:10" s="5" customFormat="1" ht="12.75">
      <c r="I2922" s="4"/>
      <c r="J2922" s="4"/>
    </row>
    <row r="2923" spans="9:10" s="5" customFormat="1" ht="12.75">
      <c r="I2923" s="4"/>
      <c r="J2923" s="4"/>
    </row>
    <row r="2924" spans="9:10" s="5" customFormat="1" ht="12.75">
      <c r="I2924" s="4"/>
      <c r="J2924" s="4"/>
    </row>
    <row r="2925" spans="9:10" s="5" customFormat="1" ht="12.75">
      <c r="I2925" s="4"/>
      <c r="J2925" s="4"/>
    </row>
    <row r="2926" spans="9:10" s="5" customFormat="1" ht="12.75">
      <c r="I2926" s="4"/>
      <c r="J2926" s="4"/>
    </row>
    <row r="2927" spans="9:10" s="5" customFormat="1" ht="12.75">
      <c r="I2927" s="4"/>
      <c r="J2927" s="4"/>
    </row>
    <row r="2928" spans="9:10" s="5" customFormat="1" ht="12.75">
      <c r="I2928" s="4"/>
      <c r="J2928" s="4"/>
    </row>
    <row r="2929" spans="9:10" s="5" customFormat="1" ht="12.75">
      <c r="I2929" s="4"/>
      <c r="J2929" s="4"/>
    </row>
    <row r="2930" spans="9:10" s="5" customFormat="1" ht="12.75">
      <c r="I2930" s="4"/>
      <c r="J2930" s="4"/>
    </row>
    <row r="2931" spans="9:10" s="5" customFormat="1" ht="12.75">
      <c r="I2931" s="4"/>
      <c r="J2931" s="4"/>
    </row>
    <row r="2932" spans="9:10" s="5" customFormat="1" ht="12.75">
      <c r="I2932" s="4"/>
      <c r="J2932" s="4"/>
    </row>
    <row r="2933" spans="9:10" s="5" customFormat="1" ht="12.75">
      <c r="I2933" s="4"/>
      <c r="J2933" s="4"/>
    </row>
    <row r="2934" spans="9:10" s="5" customFormat="1" ht="12.75">
      <c r="I2934" s="4"/>
      <c r="J2934" s="4"/>
    </row>
    <row r="2935" spans="9:10" s="5" customFormat="1" ht="12.75">
      <c r="I2935" s="4"/>
      <c r="J2935" s="4"/>
    </row>
    <row r="2936" spans="9:10" s="5" customFormat="1" ht="12.75">
      <c r="I2936" s="4"/>
      <c r="J2936" s="4"/>
    </row>
    <row r="2937" spans="9:10" s="5" customFormat="1" ht="12.75">
      <c r="I2937" s="4"/>
      <c r="J2937" s="4"/>
    </row>
    <row r="2938" spans="9:10" s="5" customFormat="1" ht="12.75">
      <c r="I2938" s="4"/>
      <c r="J2938" s="4"/>
    </row>
    <row r="2939" spans="9:10" s="5" customFormat="1" ht="12.75">
      <c r="I2939" s="4"/>
      <c r="J2939" s="4"/>
    </row>
    <row r="2940" spans="9:10" s="5" customFormat="1" ht="12.75">
      <c r="I2940" s="4"/>
      <c r="J2940" s="4"/>
    </row>
    <row r="2941" spans="9:10" s="5" customFormat="1" ht="12.75">
      <c r="I2941" s="4"/>
      <c r="J2941" s="4"/>
    </row>
    <row r="2942" spans="9:10" s="5" customFormat="1" ht="12.75">
      <c r="I2942" s="4"/>
      <c r="J2942" s="4"/>
    </row>
    <row r="2943" spans="9:10" s="5" customFormat="1" ht="12.75">
      <c r="I2943" s="4"/>
      <c r="J2943" s="4"/>
    </row>
    <row r="2944" spans="9:10" s="5" customFormat="1" ht="12.75">
      <c r="I2944" s="4"/>
      <c r="J2944" s="4"/>
    </row>
    <row r="2945" spans="9:10" s="5" customFormat="1" ht="12.75">
      <c r="I2945" s="4"/>
      <c r="J2945" s="4"/>
    </row>
    <row r="2946" spans="9:10" s="5" customFormat="1" ht="12.75">
      <c r="I2946" s="4"/>
      <c r="J2946" s="4"/>
    </row>
    <row r="2947" spans="9:10" s="5" customFormat="1" ht="12.75">
      <c r="I2947" s="4"/>
      <c r="J2947" s="4"/>
    </row>
    <row r="2948" spans="9:10" s="5" customFormat="1" ht="12.75">
      <c r="I2948" s="4"/>
      <c r="J2948" s="4"/>
    </row>
    <row r="2949" spans="9:10" s="5" customFormat="1" ht="12.75">
      <c r="I2949" s="4"/>
      <c r="J2949" s="4"/>
    </row>
    <row r="2950" spans="9:10" s="5" customFormat="1" ht="12.75">
      <c r="I2950" s="4"/>
      <c r="J2950" s="4"/>
    </row>
    <row r="2951" spans="9:10" s="5" customFormat="1" ht="12.75">
      <c r="I2951" s="4"/>
      <c r="J2951" s="4"/>
    </row>
    <row r="2952" spans="9:10" s="5" customFormat="1" ht="12.75">
      <c r="I2952" s="4"/>
      <c r="J2952" s="4"/>
    </row>
    <row r="2953" spans="9:10" s="5" customFormat="1" ht="12.75">
      <c r="I2953" s="4"/>
      <c r="J2953" s="4"/>
    </row>
    <row r="2954" spans="9:10" s="5" customFormat="1" ht="12.75">
      <c r="I2954" s="4"/>
      <c r="J2954" s="4"/>
    </row>
    <row r="2955" spans="9:10" s="5" customFormat="1" ht="12.75">
      <c r="I2955" s="4"/>
      <c r="J2955" s="4"/>
    </row>
    <row r="2956" spans="9:10" s="5" customFormat="1" ht="12.75">
      <c r="I2956" s="4"/>
      <c r="J2956" s="4"/>
    </row>
    <row r="2957" spans="9:10" s="5" customFormat="1" ht="12.75">
      <c r="I2957" s="4"/>
      <c r="J2957" s="4"/>
    </row>
    <row r="2958" spans="9:10" s="5" customFormat="1" ht="12.75">
      <c r="I2958" s="4"/>
      <c r="J2958" s="4"/>
    </row>
    <row r="2959" spans="9:10" s="5" customFormat="1" ht="12.75">
      <c r="I2959" s="4"/>
      <c r="J2959" s="4"/>
    </row>
    <row r="2960" spans="9:10" s="5" customFormat="1" ht="12.75">
      <c r="I2960" s="4"/>
      <c r="J2960" s="4"/>
    </row>
    <row r="2961" spans="9:10" s="5" customFormat="1" ht="12.75">
      <c r="I2961" s="4"/>
      <c r="J2961" s="4"/>
    </row>
    <row r="2962" spans="9:10" s="5" customFormat="1" ht="12.75">
      <c r="I2962" s="4"/>
      <c r="J2962" s="4"/>
    </row>
    <row r="2963" spans="9:10" s="5" customFormat="1" ht="12.75">
      <c r="I2963" s="4"/>
      <c r="J2963" s="4"/>
    </row>
    <row r="2964" spans="9:10" s="5" customFormat="1" ht="12.75">
      <c r="I2964" s="4"/>
      <c r="J2964" s="4"/>
    </row>
    <row r="2965" spans="9:10" s="5" customFormat="1" ht="12.75">
      <c r="I2965" s="4"/>
      <c r="J2965" s="4"/>
    </row>
    <row r="2966" spans="9:10" s="5" customFormat="1" ht="12.75">
      <c r="I2966" s="4"/>
      <c r="J2966" s="4"/>
    </row>
    <row r="2967" spans="9:10" s="5" customFormat="1" ht="12.75">
      <c r="I2967" s="4"/>
      <c r="J2967" s="4"/>
    </row>
    <row r="2968" spans="9:10" s="5" customFormat="1" ht="12.75">
      <c r="I2968" s="4"/>
      <c r="J2968" s="4"/>
    </row>
    <row r="2969" spans="9:10" s="5" customFormat="1" ht="12.75">
      <c r="I2969" s="4"/>
      <c r="J2969" s="4"/>
    </row>
    <row r="2970" spans="9:10" s="5" customFormat="1" ht="12.75">
      <c r="I2970" s="4"/>
      <c r="J2970" s="4"/>
    </row>
    <row r="2971" spans="9:10" s="5" customFormat="1" ht="12.75">
      <c r="I2971" s="4"/>
      <c r="J2971" s="4"/>
    </row>
    <row r="2972" spans="9:10" s="5" customFormat="1" ht="12.75">
      <c r="I2972" s="4"/>
      <c r="J2972" s="4"/>
    </row>
    <row r="2973" spans="9:10" s="5" customFormat="1" ht="12.75">
      <c r="I2973" s="4"/>
      <c r="J2973" s="4"/>
    </row>
    <row r="2974" spans="9:10" s="5" customFormat="1" ht="12.75">
      <c r="I2974" s="4"/>
      <c r="J2974" s="4"/>
    </row>
    <row r="2975" spans="9:10" s="5" customFormat="1" ht="12.75">
      <c r="I2975" s="4"/>
      <c r="J2975" s="4"/>
    </row>
    <row r="2976" spans="9:10" s="5" customFormat="1" ht="12.75">
      <c r="I2976" s="4"/>
      <c r="J2976" s="4"/>
    </row>
    <row r="2977" spans="9:10" s="5" customFormat="1" ht="12.75">
      <c r="I2977" s="4"/>
      <c r="J2977" s="4"/>
    </row>
    <row r="2978" spans="9:10" s="5" customFormat="1" ht="12.75">
      <c r="I2978" s="4"/>
      <c r="J2978" s="4"/>
    </row>
    <row r="2979" spans="9:10" s="5" customFormat="1" ht="12.75">
      <c r="I2979" s="4"/>
      <c r="J2979" s="4"/>
    </row>
    <row r="2980" spans="9:10" s="5" customFormat="1" ht="12.75">
      <c r="I2980" s="4"/>
      <c r="J2980" s="4"/>
    </row>
    <row r="2981" spans="9:10" s="5" customFormat="1" ht="12.75">
      <c r="I2981" s="4"/>
      <c r="J2981" s="4"/>
    </row>
    <row r="2982" spans="9:10" s="5" customFormat="1" ht="12.75">
      <c r="I2982" s="4"/>
      <c r="J2982" s="4"/>
    </row>
    <row r="2983" spans="9:10" s="5" customFormat="1" ht="12.75">
      <c r="I2983" s="4"/>
      <c r="J2983" s="4"/>
    </row>
    <row r="2984" spans="9:10" s="5" customFormat="1" ht="12.75">
      <c r="I2984" s="4"/>
      <c r="J2984" s="4"/>
    </row>
    <row r="2985" spans="9:10" s="5" customFormat="1" ht="12.75">
      <c r="I2985" s="4"/>
      <c r="J2985" s="4"/>
    </row>
    <row r="2986" spans="9:10" s="5" customFormat="1" ht="12.75">
      <c r="I2986" s="4"/>
      <c r="J2986" s="4"/>
    </row>
    <row r="2987" spans="9:10" s="5" customFormat="1" ht="12.75">
      <c r="I2987" s="4"/>
      <c r="J2987" s="4"/>
    </row>
    <row r="2988" spans="9:10" s="5" customFormat="1" ht="12.75">
      <c r="I2988" s="4"/>
      <c r="J2988" s="4"/>
    </row>
    <row r="2989" spans="9:10" s="5" customFormat="1" ht="12.75">
      <c r="I2989" s="4"/>
      <c r="J2989" s="4"/>
    </row>
    <row r="2990" spans="9:10" s="5" customFormat="1" ht="12.75">
      <c r="I2990" s="4"/>
      <c r="J2990" s="4"/>
    </row>
    <row r="2991" spans="9:10" s="5" customFormat="1" ht="12.75">
      <c r="I2991" s="4"/>
      <c r="J2991" s="4"/>
    </row>
    <row r="2992" spans="9:10" s="5" customFormat="1" ht="12.75">
      <c r="I2992" s="4"/>
      <c r="J2992" s="4"/>
    </row>
    <row r="2993" spans="9:10" s="5" customFormat="1" ht="12.75">
      <c r="I2993" s="4"/>
      <c r="J2993" s="4"/>
    </row>
    <row r="2994" spans="9:10" s="5" customFormat="1" ht="12.75">
      <c r="I2994" s="4"/>
      <c r="J2994" s="4"/>
    </row>
    <row r="2995" spans="9:10" s="5" customFormat="1" ht="12.75">
      <c r="I2995" s="4"/>
      <c r="J2995" s="4"/>
    </row>
    <row r="2996" spans="9:10" s="5" customFormat="1" ht="12.75">
      <c r="I2996" s="4"/>
      <c r="J2996" s="4"/>
    </row>
    <row r="2997" spans="9:10" s="5" customFormat="1" ht="12.75">
      <c r="I2997" s="4"/>
      <c r="J2997" s="4"/>
    </row>
    <row r="2998" spans="9:10" s="5" customFormat="1" ht="12.75">
      <c r="I2998" s="4"/>
      <c r="J2998" s="4"/>
    </row>
    <row r="2999" spans="9:10" s="5" customFormat="1" ht="12.75">
      <c r="I2999" s="4"/>
      <c r="J2999" s="4"/>
    </row>
    <row r="3000" spans="9:10" s="5" customFormat="1" ht="12.75">
      <c r="I3000" s="4"/>
      <c r="J3000" s="4"/>
    </row>
    <row r="3001" spans="9:10" s="5" customFormat="1" ht="12.75">
      <c r="I3001" s="4"/>
      <c r="J3001" s="4"/>
    </row>
    <row r="3002" spans="9:10" s="5" customFormat="1" ht="12.75">
      <c r="I3002" s="4"/>
      <c r="J3002" s="4"/>
    </row>
    <row r="3003" spans="9:10" s="5" customFormat="1" ht="12.75">
      <c r="I3003" s="4"/>
      <c r="J3003" s="4"/>
    </row>
    <row r="3004" spans="9:10" s="5" customFormat="1" ht="12.75">
      <c r="I3004" s="4"/>
      <c r="J3004" s="4"/>
    </row>
    <row r="3005" spans="9:10" s="5" customFormat="1" ht="12.75">
      <c r="I3005" s="4"/>
      <c r="J3005" s="4"/>
    </row>
    <row r="3006" spans="9:10" s="5" customFormat="1" ht="12.75">
      <c r="I3006" s="4"/>
      <c r="J3006" s="4"/>
    </row>
    <row r="3007" spans="9:10" s="5" customFormat="1" ht="12.75">
      <c r="I3007" s="4"/>
      <c r="J3007" s="4"/>
    </row>
    <row r="3008" spans="9:10" s="5" customFormat="1" ht="12.75">
      <c r="I3008" s="4"/>
      <c r="J3008" s="4"/>
    </row>
    <row r="3009" spans="9:10" s="5" customFormat="1" ht="12.75">
      <c r="I3009" s="4"/>
      <c r="J3009" s="4"/>
    </row>
    <row r="3010" spans="9:10" s="5" customFormat="1" ht="12.75">
      <c r="I3010" s="4"/>
      <c r="J3010" s="4"/>
    </row>
    <row r="3011" spans="9:10" s="5" customFormat="1" ht="12.75">
      <c r="I3011" s="4"/>
      <c r="J3011" s="4"/>
    </row>
    <row r="3012" spans="9:10" s="5" customFormat="1" ht="12.75">
      <c r="I3012" s="4"/>
      <c r="J3012" s="4"/>
    </row>
    <row r="3013" spans="9:10" s="5" customFormat="1" ht="12.75">
      <c r="I3013" s="4"/>
      <c r="J3013" s="4"/>
    </row>
    <row r="3014" spans="9:10" s="5" customFormat="1" ht="12.75">
      <c r="I3014" s="4"/>
      <c r="J3014" s="4"/>
    </row>
    <row r="3015" spans="9:10" s="5" customFormat="1" ht="12.75">
      <c r="I3015" s="4"/>
      <c r="J3015" s="4"/>
    </row>
    <row r="3016" spans="9:10" s="5" customFormat="1" ht="12.75">
      <c r="I3016" s="4"/>
      <c r="J3016" s="4"/>
    </row>
    <row r="3017" spans="9:10" s="5" customFormat="1" ht="12.75">
      <c r="I3017" s="4"/>
      <c r="J3017" s="4"/>
    </row>
    <row r="3018" spans="9:10" s="5" customFormat="1" ht="12.75">
      <c r="I3018" s="4"/>
      <c r="J3018" s="4"/>
    </row>
    <row r="3019" spans="9:10" s="5" customFormat="1" ht="12.75">
      <c r="I3019" s="4"/>
      <c r="J3019" s="4"/>
    </row>
    <row r="3020" spans="9:10" s="5" customFormat="1" ht="12.75">
      <c r="I3020" s="4"/>
      <c r="J3020" s="4"/>
    </row>
    <row r="3021" spans="9:10" s="5" customFormat="1" ht="12.75">
      <c r="I3021" s="4"/>
      <c r="J3021" s="4"/>
    </row>
    <row r="3022" spans="9:10" s="5" customFormat="1" ht="12.75">
      <c r="I3022" s="4"/>
      <c r="J3022" s="4"/>
    </row>
    <row r="3023" spans="9:10" s="5" customFormat="1" ht="12.75">
      <c r="I3023" s="4"/>
      <c r="J3023" s="4"/>
    </row>
    <row r="3024" spans="9:10" s="5" customFormat="1" ht="12.75">
      <c r="I3024" s="4"/>
      <c r="J3024" s="4"/>
    </row>
    <row r="3025" spans="9:10" s="5" customFormat="1" ht="12.75">
      <c r="I3025" s="4"/>
      <c r="J3025" s="4"/>
    </row>
    <row r="3026" spans="9:10" s="5" customFormat="1" ht="12.75">
      <c r="I3026" s="4"/>
      <c r="J3026" s="4"/>
    </row>
    <row r="3027" spans="9:10" s="5" customFormat="1" ht="12.75">
      <c r="I3027" s="4"/>
      <c r="J3027" s="4"/>
    </row>
    <row r="3028" spans="9:10" s="5" customFormat="1" ht="12.75">
      <c r="I3028" s="4"/>
      <c r="J3028" s="4"/>
    </row>
    <row r="3029" spans="9:10" s="5" customFormat="1" ht="12.75">
      <c r="I3029" s="4"/>
      <c r="J3029" s="4"/>
    </row>
    <row r="3030" spans="9:10" s="5" customFormat="1" ht="12.75">
      <c r="I3030" s="4"/>
      <c r="J3030" s="4"/>
    </row>
    <row r="3031" spans="9:10" s="5" customFormat="1" ht="12.75">
      <c r="I3031" s="4"/>
      <c r="J3031" s="4"/>
    </row>
    <row r="3032" spans="9:10" s="5" customFormat="1" ht="12.75">
      <c r="I3032" s="4"/>
      <c r="J3032" s="4"/>
    </row>
    <row r="3033" spans="9:10" s="5" customFormat="1" ht="12.75">
      <c r="I3033" s="4"/>
      <c r="J3033" s="4"/>
    </row>
    <row r="3034" spans="9:10" s="5" customFormat="1" ht="12.75">
      <c r="I3034" s="4"/>
      <c r="J3034" s="4"/>
    </row>
    <row r="3035" spans="9:10" s="5" customFormat="1" ht="12.75">
      <c r="I3035" s="4"/>
      <c r="J3035" s="4"/>
    </row>
    <row r="3036" spans="9:10" s="5" customFormat="1" ht="12.75">
      <c r="I3036" s="4"/>
      <c r="J3036" s="4"/>
    </row>
    <row r="3037" spans="9:10" s="5" customFormat="1" ht="12.75">
      <c r="I3037" s="4"/>
      <c r="J3037" s="4"/>
    </row>
    <row r="3038" spans="9:10" s="5" customFormat="1" ht="12.75">
      <c r="I3038" s="4"/>
      <c r="J3038" s="4"/>
    </row>
    <row r="3039" spans="9:10" s="5" customFormat="1" ht="12.75">
      <c r="I3039" s="4"/>
      <c r="J3039" s="4"/>
    </row>
    <row r="3040" spans="9:10" s="5" customFormat="1" ht="12.75">
      <c r="I3040" s="4"/>
      <c r="J3040" s="4"/>
    </row>
    <row r="3041" spans="9:10" s="5" customFormat="1" ht="12.75">
      <c r="I3041" s="4"/>
      <c r="J3041" s="4"/>
    </row>
    <row r="3042" spans="9:10" s="5" customFormat="1" ht="12.75">
      <c r="I3042" s="4"/>
      <c r="J3042" s="4"/>
    </row>
    <row r="3043" spans="9:10" s="5" customFormat="1" ht="12.75">
      <c r="I3043" s="4"/>
      <c r="J3043" s="4"/>
    </row>
    <row r="3044" spans="9:10" s="5" customFormat="1" ht="12.75">
      <c r="I3044" s="4"/>
      <c r="J3044" s="4"/>
    </row>
    <row r="3045" spans="9:10" s="5" customFormat="1" ht="12.75">
      <c r="I3045" s="4"/>
      <c r="J3045" s="4"/>
    </row>
    <row r="3046" spans="9:10" s="5" customFormat="1" ht="12.75">
      <c r="I3046" s="4"/>
      <c r="J3046" s="4"/>
    </row>
    <row r="3047" spans="9:10" s="5" customFormat="1" ht="12.75">
      <c r="I3047" s="4"/>
      <c r="J3047" s="4"/>
    </row>
    <row r="3048" spans="9:10" s="5" customFormat="1" ht="12.75">
      <c r="I3048" s="4"/>
      <c r="J3048" s="4"/>
    </row>
    <row r="3049" spans="9:10" s="5" customFormat="1" ht="12.75">
      <c r="I3049" s="4"/>
      <c r="J3049" s="4"/>
    </row>
    <row r="3050" spans="9:10" s="5" customFormat="1" ht="12.75">
      <c r="I3050" s="4"/>
      <c r="J3050" s="4"/>
    </row>
    <row r="3051" spans="9:10" s="5" customFormat="1" ht="12.75">
      <c r="I3051" s="4"/>
      <c r="J3051" s="4"/>
    </row>
    <row r="3052" spans="9:10" s="5" customFormat="1" ht="12.75">
      <c r="I3052" s="4"/>
      <c r="J3052" s="4"/>
    </row>
    <row r="3053" spans="9:10" s="5" customFormat="1" ht="12.75">
      <c r="I3053" s="4"/>
      <c r="J3053" s="4"/>
    </row>
    <row r="3054" spans="9:10" s="5" customFormat="1" ht="12.75">
      <c r="I3054" s="4"/>
      <c r="J3054" s="4"/>
    </row>
    <row r="3055" spans="9:10" s="5" customFormat="1" ht="12.75">
      <c r="I3055" s="4"/>
      <c r="J3055" s="4"/>
    </row>
    <row r="3056" spans="9:10" s="5" customFormat="1" ht="12.75">
      <c r="I3056" s="4"/>
      <c r="J3056" s="4"/>
    </row>
    <row r="3057" spans="9:10" s="5" customFormat="1" ht="12.75">
      <c r="I3057" s="4"/>
      <c r="J3057" s="4"/>
    </row>
    <row r="3058" spans="9:10" s="5" customFormat="1" ht="12.75">
      <c r="I3058" s="4"/>
      <c r="J3058" s="4"/>
    </row>
    <row r="3059" spans="9:10" s="5" customFormat="1" ht="12.75">
      <c r="I3059" s="4"/>
      <c r="J3059" s="4"/>
    </row>
    <row r="3060" spans="9:10" s="5" customFormat="1" ht="12.75">
      <c r="I3060" s="4"/>
      <c r="J3060" s="4"/>
    </row>
    <row r="3061" spans="9:10" s="5" customFormat="1" ht="12.75">
      <c r="I3061" s="4"/>
      <c r="J3061" s="4"/>
    </row>
    <row r="3062" spans="9:10" s="5" customFormat="1" ht="12.75">
      <c r="I3062" s="4"/>
      <c r="J3062" s="4"/>
    </row>
    <row r="3063" spans="9:10" s="5" customFormat="1" ht="12.75">
      <c r="I3063" s="4"/>
      <c r="J3063" s="4"/>
    </row>
    <row r="3064" spans="9:10" s="5" customFormat="1" ht="12.75">
      <c r="I3064" s="4"/>
      <c r="J3064" s="4"/>
    </row>
    <row r="3065" spans="9:10" s="5" customFormat="1" ht="12.75">
      <c r="I3065" s="4"/>
      <c r="J3065" s="4"/>
    </row>
    <row r="3066" spans="9:10" s="5" customFormat="1" ht="12.75">
      <c r="I3066" s="4"/>
      <c r="J3066" s="4"/>
    </row>
    <row r="3067" spans="9:10" s="5" customFormat="1" ht="12.75">
      <c r="I3067" s="4"/>
      <c r="J3067" s="4"/>
    </row>
    <row r="3068" spans="9:10" s="5" customFormat="1" ht="12.75">
      <c r="I3068" s="4"/>
      <c r="J3068" s="4"/>
    </row>
    <row r="3069" spans="9:10" s="5" customFormat="1" ht="12.75">
      <c r="I3069" s="4"/>
      <c r="J3069" s="4"/>
    </row>
    <row r="3070" spans="9:10" s="5" customFormat="1" ht="12.75">
      <c r="I3070" s="4"/>
      <c r="J3070" s="4"/>
    </row>
    <row r="3071" spans="9:10" s="5" customFormat="1" ht="12.75">
      <c r="I3071" s="4"/>
      <c r="J3071" s="4"/>
    </row>
    <row r="3072" spans="9:10" s="5" customFormat="1" ht="12.75">
      <c r="I3072" s="4"/>
      <c r="J3072" s="4"/>
    </row>
    <row r="3073" spans="9:10" s="5" customFormat="1" ht="12.75">
      <c r="I3073" s="4"/>
      <c r="J3073" s="4"/>
    </row>
    <row r="3074" spans="9:10" s="5" customFormat="1" ht="12.75">
      <c r="I3074" s="4"/>
      <c r="J3074" s="4"/>
    </row>
    <row r="3075" spans="9:10" s="5" customFormat="1" ht="12.75">
      <c r="I3075" s="4"/>
      <c r="J3075" s="4"/>
    </row>
    <row r="3076" spans="9:10" s="5" customFormat="1" ht="12.75">
      <c r="I3076" s="4"/>
      <c r="J3076" s="4"/>
    </row>
    <row r="3077" spans="9:10" s="5" customFormat="1" ht="12.75">
      <c r="I3077" s="4"/>
      <c r="J3077" s="4"/>
    </row>
    <row r="3078" spans="9:10" s="5" customFormat="1" ht="12.75">
      <c r="I3078" s="4"/>
      <c r="J3078" s="4"/>
    </row>
    <row r="3079" spans="9:10" s="5" customFormat="1" ht="12.75">
      <c r="I3079" s="4"/>
      <c r="J3079" s="4"/>
    </row>
    <row r="3080" spans="9:10" s="5" customFormat="1" ht="12.75">
      <c r="I3080" s="4"/>
      <c r="J3080" s="4"/>
    </row>
    <row r="3081" spans="9:10" s="5" customFormat="1" ht="12.75">
      <c r="I3081" s="4"/>
      <c r="J3081" s="4"/>
    </row>
    <row r="3082" spans="9:10" s="5" customFormat="1" ht="12.75">
      <c r="I3082" s="4"/>
      <c r="J3082" s="4"/>
    </row>
    <row r="3083" spans="9:10" s="5" customFormat="1" ht="12.75">
      <c r="I3083" s="4"/>
      <c r="J3083" s="4"/>
    </row>
    <row r="3084" spans="9:10" s="5" customFormat="1" ht="12.75">
      <c r="I3084" s="4"/>
      <c r="J3084" s="4"/>
    </row>
    <row r="3085" spans="9:10" s="5" customFormat="1" ht="12.75">
      <c r="I3085" s="4"/>
      <c r="J3085" s="4"/>
    </row>
    <row r="3086" spans="9:10" s="5" customFormat="1" ht="12.75">
      <c r="I3086" s="4"/>
      <c r="J3086" s="4"/>
    </row>
    <row r="3087" spans="9:10" s="5" customFormat="1" ht="12.75">
      <c r="I3087" s="4"/>
      <c r="J3087" s="4"/>
    </row>
    <row r="3088" spans="9:10" s="5" customFormat="1" ht="12.75">
      <c r="I3088" s="4"/>
      <c r="J3088" s="4"/>
    </row>
    <row r="3089" spans="9:10" s="5" customFormat="1" ht="12.75">
      <c r="I3089" s="4"/>
      <c r="J3089" s="4"/>
    </row>
    <row r="3090" spans="9:10" s="5" customFormat="1" ht="12.75">
      <c r="I3090" s="4"/>
      <c r="J3090" s="4"/>
    </row>
    <row r="3091" spans="9:10" s="5" customFormat="1" ht="12.75">
      <c r="I3091" s="4"/>
      <c r="J3091" s="4"/>
    </row>
    <row r="3092" spans="9:10" s="5" customFormat="1" ht="12.75">
      <c r="I3092" s="4"/>
      <c r="J3092" s="4"/>
    </row>
    <row r="3093" spans="9:10" s="5" customFormat="1" ht="12.75">
      <c r="I3093" s="4"/>
      <c r="J3093" s="4"/>
    </row>
    <row r="3094" spans="9:10" s="5" customFormat="1" ht="12.75">
      <c r="I3094" s="4"/>
      <c r="J3094" s="4"/>
    </row>
    <row r="3095" spans="9:10" s="5" customFormat="1" ht="12.75">
      <c r="I3095" s="4"/>
      <c r="J3095" s="4"/>
    </row>
    <row r="3096" spans="9:10" s="5" customFormat="1" ht="12.75">
      <c r="I3096" s="4"/>
      <c r="J3096" s="4"/>
    </row>
    <row r="3097" spans="9:10" s="5" customFormat="1" ht="12.75">
      <c r="I3097" s="4"/>
      <c r="J3097" s="4"/>
    </row>
    <row r="3098" spans="9:10" s="5" customFormat="1" ht="12.75">
      <c r="I3098" s="4"/>
      <c r="J3098" s="4"/>
    </row>
    <row r="3099" spans="9:10" s="5" customFormat="1" ht="12.75">
      <c r="I3099" s="4"/>
      <c r="J3099" s="4"/>
    </row>
    <row r="3100" spans="9:10" s="5" customFormat="1" ht="12.75">
      <c r="I3100" s="4"/>
      <c r="J3100" s="4"/>
    </row>
    <row r="3101" spans="9:10" s="5" customFormat="1" ht="12.75">
      <c r="I3101" s="4"/>
      <c r="J3101" s="4"/>
    </row>
    <row r="3102" spans="9:10" s="5" customFormat="1" ht="12.75">
      <c r="I3102" s="4"/>
      <c r="J3102" s="4"/>
    </row>
    <row r="3103" spans="9:10" s="5" customFormat="1" ht="12.75">
      <c r="I3103" s="4"/>
      <c r="J3103" s="4"/>
    </row>
    <row r="3104" spans="9:10" s="5" customFormat="1" ht="12.75">
      <c r="I3104" s="4"/>
      <c r="J3104" s="4"/>
    </row>
    <row r="3105" spans="9:10" s="5" customFormat="1" ht="12.75">
      <c r="I3105" s="4"/>
      <c r="J3105" s="4"/>
    </row>
    <row r="3106" spans="9:10" s="5" customFormat="1" ht="12.75">
      <c r="I3106" s="4"/>
      <c r="J3106" s="4"/>
    </row>
    <row r="3107" spans="9:10" s="5" customFormat="1" ht="12.75">
      <c r="I3107" s="4"/>
      <c r="J3107" s="4"/>
    </row>
    <row r="3108" spans="9:10" s="5" customFormat="1" ht="12.75">
      <c r="I3108" s="4"/>
      <c r="J3108" s="4"/>
    </row>
    <row r="3109" spans="9:10" s="5" customFormat="1" ht="12.75">
      <c r="I3109" s="4"/>
      <c r="J3109" s="4"/>
    </row>
    <row r="3110" spans="9:10" s="5" customFormat="1" ht="12.75">
      <c r="I3110" s="4"/>
      <c r="J3110" s="4"/>
    </row>
    <row r="3111" spans="9:10" s="5" customFormat="1" ht="12.75">
      <c r="I3111" s="4"/>
      <c r="J3111" s="4"/>
    </row>
    <row r="3112" spans="9:10" s="5" customFormat="1" ht="12.75">
      <c r="I3112" s="4"/>
      <c r="J3112" s="4"/>
    </row>
    <row r="3113" spans="9:10" s="5" customFormat="1" ht="12.75">
      <c r="I3113" s="4"/>
      <c r="J3113" s="4"/>
    </row>
    <row r="3114" spans="9:10" s="5" customFormat="1" ht="12.75">
      <c r="I3114" s="4"/>
      <c r="J3114" s="4"/>
    </row>
    <row r="3115" spans="9:10" s="5" customFormat="1" ht="12.75">
      <c r="I3115" s="4"/>
      <c r="J3115" s="4"/>
    </row>
    <row r="3116" spans="9:10" s="5" customFormat="1" ht="12.75">
      <c r="I3116" s="4"/>
      <c r="J3116" s="4"/>
    </row>
    <row r="3117" spans="9:10" s="5" customFormat="1" ht="12.75">
      <c r="I3117" s="4"/>
      <c r="J3117" s="4"/>
    </row>
    <row r="3118" spans="9:10" s="5" customFormat="1" ht="12.75">
      <c r="I3118" s="4"/>
      <c r="J3118" s="4"/>
    </row>
    <row r="3119" spans="9:10" s="5" customFormat="1" ht="12.75">
      <c r="I3119" s="4"/>
      <c r="J3119" s="4"/>
    </row>
    <row r="3120" spans="9:10" s="5" customFormat="1" ht="12.75">
      <c r="I3120" s="4"/>
      <c r="J3120" s="4"/>
    </row>
    <row r="3121" spans="9:10" s="5" customFormat="1" ht="12.75">
      <c r="I3121" s="4"/>
      <c r="J3121" s="4"/>
    </row>
    <row r="3122" spans="9:10" s="5" customFormat="1" ht="12.75">
      <c r="I3122" s="4"/>
      <c r="J3122" s="4"/>
    </row>
    <row r="3123" spans="9:10" s="5" customFormat="1" ht="12.75">
      <c r="I3123" s="4"/>
      <c r="J3123" s="4"/>
    </row>
    <row r="3124" spans="9:10" s="5" customFormat="1" ht="12.75">
      <c r="I3124" s="4"/>
      <c r="J3124" s="4"/>
    </row>
    <row r="3125" spans="9:10" s="5" customFormat="1" ht="12.75">
      <c r="I3125" s="4"/>
      <c r="J3125" s="4"/>
    </row>
    <row r="3126" spans="9:10" s="5" customFormat="1" ht="12.75">
      <c r="I3126" s="4"/>
      <c r="J3126" s="4"/>
    </row>
    <row r="3127" spans="9:10" s="5" customFormat="1" ht="12.75">
      <c r="I3127" s="4"/>
      <c r="J3127" s="4"/>
    </row>
    <row r="3128" spans="9:10" s="5" customFormat="1" ht="12.75">
      <c r="I3128" s="4"/>
      <c r="J3128" s="4"/>
    </row>
    <row r="3129" spans="9:10" s="5" customFormat="1" ht="12.75">
      <c r="I3129" s="4"/>
      <c r="J3129" s="4"/>
    </row>
    <row r="3130" spans="9:10" s="5" customFormat="1" ht="12.75">
      <c r="I3130" s="4"/>
      <c r="J3130" s="4"/>
    </row>
    <row r="3131" spans="9:10" s="5" customFormat="1" ht="12.75">
      <c r="I3131" s="4"/>
      <c r="J3131" s="4"/>
    </row>
    <row r="3132" spans="9:10" s="5" customFormat="1" ht="12.75">
      <c r="I3132" s="4"/>
      <c r="J3132" s="4"/>
    </row>
    <row r="3133" spans="9:10" s="5" customFormat="1" ht="12.75">
      <c r="I3133" s="4"/>
      <c r="J3133" s="4"/>
    </row>
    <row r="3134" spans="9:10" s="5" customFormat="1" ht="12.75">
      <c r="I3134" s="4"/>
      <c r="J3134" s="4"/>
    </row>
    <row r="3135" spans="9:10" s="5" customFormat="1" ht="12.75">
      <c r="I3135" s="4"/>
      <c r="J3135" s="4"/>
    </row>
    <row r="3136" spans="9:10" s="5" customFormat="1" ht="12.75">
      <c r="I3136" s="4"/>
      <c r="J3136" s="4"/>
    </row>
    <row r="3137" spans="9:10" s="5" customFormat="1" ht="12.75">
      <c r="I3137" s="4"/>
      <c r="J3137" s="4"/>
    </row>
    <row r="3138" spans="9:10" s="5" customFormat="1" ht="12.75">
      <c r="I3138" s="4"/>
      <c r="J3138" s="4"/>
    </row>
    <row r="3139" spans="9:10" s="5" customFormat="1" ht="12.75">
      <c r="I3139" s="4"/>
      <c r="J3139" s="4"/>
    </row>
    <row r="3140" spans="9:10" s="5" customFormat="1" ht="12.75">
      <c r="I3140" s="4"/>
      <c r="J3140" s="4"/>
    </row>
    <row r="3141" spans="9:10" s="5" customFormat="1" ht="12.75">
      <c r="I3141" s="4"/>
      <c r="J3141" s="4"/>
    </row>
    <row r="3142" spans="9:10" s="5" customFormat="1" ht="12.75">
      <c r="I3142" s="4"/>
      <c r="J3142" s="4"/>
    </row>
    <row r="3143" spans="9:10" s="5" customFormat="1" ht="12.75">
      <c r="I3143" s="4"/>
      <c r="J3143" s="4"/>
    </row>
    <row r="3144" spans="9:10" s="5" customFormat="1" ht="12.75">
      <c r="I3144" s="4"/>
      <c r="J3144" s="4"/>
    </row>
    <row r="3145" spans="9:10" s="5" customFormat="1" ht="12.75">
      <c r="I3145" s="4"/>
      <c r="J3145" s="4"/>
    </row>
    <row r="3146" spans="9:10" s="5" customFormat="1" ht="12.75">
      <c r="I3146" s="4"/>
      <c r="J3146" s="4"/>
    </row>
    <row r="3147" spans="9:10" s="5" customFormat="1" ht="12.75">
      <c r="I3147" s="4"/>
      <c r="J3147" s="4"/>
    </row>
    <row r="3148" spans="9:10" s="5" customFormat="1" ht="12.75">
      <c r="I3148" s="4"/>
      <c r="J3148" s="4"/>
    </row>
    <row r="3149" spans="9:10" s="5" customFormat="1" ht="12.75">
      <c r="I3149" s="4"/>
      <c r="J3149" s="4"/>
    </row>
  </sheetData>
  <sheetProtection sheet="1" objects="1" scenarios="1"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84"/>
  <sheetViews>
    <sheetView zoomScalePageLayoutView="0" workbookViewId="0" topLeftCell="A38">
      <selection activeCell="E50" sqref="E50"/>
    </sheetView>
  </sheetViews>
  <sheetFormatPr defaultColWidth="9.140625" defaultRowHeight="12.75"/>
  <cols>
    <col min="1" max="1" width="0.71875" style="5" customWidth="1"/>
    <col min="2" max="2" width="9.140625" style="5" customWidth="1"/>
    <col min="3" max="3" width="35.00390625" style="5" customWidth="1"/>
    <col min="4" max="4" width="16.8515625" style="5" bestFit="1" customWidth="1"/>
    <col min="5" max="5" width="19.140625" style="5" bestFit="1" customWidth="1"/>
    <col min="6" max="6" width="21.8515625" style="5" bestFit="1" customWidth="1"/>
    <col min="7" max="7" width="24.8515625" style="5" bestFit="1" customWidth="1"/>
    <col min="8" max="8" width="17.00390625" style="5" bestFit="1" customWidth="1"/>
    <col min="9" max="9" width="19.28125" style="5" bestFit="1" customWidth="1"/>
    <col min="10" max="10" width="14.140625" style="5" customWidth="1"/>
    <col min="11" max="11" width="9.140625" style="5" customWidth="1"/>
    <col min="12" max="12" width="34.140625" style="5" customWidth="1"/>
    <col min="13" max="13" width="16.8515625" style="5" bestFit="1" customWidth="1"/>
    <col min="14" max="14" width="19.140625" style="5" bestFit="1" customWidth="1"/>
    <col min="15" max="15" width="21.8515625" style="5" bestFit="1" customWidth="1"/>
    <col min="16" max="16" width="24.8515625" style="4" bestFit="1" customWidth="1"/>
    <col min="17" max="17" width="17.00390625" style="5" bestFit="1" customWidth="1"/>
    <col min="18" max="18" width="19.28125" style="5" bestFit="1" customWidth="1"/>
    <col min="19" max="21" width="9.140625" style="5" customWidth="1"/>
    <col min="22" max="28" width="0" style="5" hidden="1" customWidth="1"/>
    <col min="29" max="29" width="16.7109375" style="5" hidden="1" customWidth="1"/>
    <col min="30" max="31" width="20.8515625" style="5" hidden="1" customWidth="1"/>
    <col min="32" max="32" width="17.7109375" style="5" hidden="1" customWidth="1"/>
    <col min="33" max="33" width="21.8515625" style="5" hidden="1" customWidth="1"/>
    <col min="34" max="34" width="18.140625" style="5" hidden="1" customWidth="1"/>
    <col min="35" max="35" width="13.140625" style="5" hidden="1" customWidth="1"/>
    <col min="36" max="132" width="0" style="5" hidden="1" customWidth="1"/>
    <col min="133" max="16384" width="9.140625" style="5" customWidth="1"/>
  </cols>
  <sheetData>
    <row r="1" spans="1:16" s="20" customFormat="1" ht="20.25" hidden="1">
      <c r="A1" s="363"/>
      <c r="B1" s="364" t="s">
        <v>84</v>
      </c>
      <c r="C1" s="363"/>
      <c r="D1" s="363"/>
      <c r="E1" s="363"/>
      <c r="F1" s="363"/>
      <c r="G1" s="363"/>
      <c r="H1" s="363"/>
      <c r="I1" s="363"/>
      <c r="J1" s="365"/>
      <c r="P1" s="19"/>
    </row>
    <row r="2" spans="1:16" s="20" customFormat="1" ht="15" hidden="1">
      <c r="A2" s="363"/>
      <c r="B2" s="363"/>
      <c r="C2" s="363"/>
      <c r="D2" s="363"/>
      <c r="E2" s="363"/>
      <c r="F2" s="363"/>
      <c r="G2" s="363"/>
      <c r="H2" s="363"/>
      <c r="I2" s="363"/>
      <c r="J2" s="365"/>
      <c r="P2" s="19"/>
    </row>
    <row r="3" spans="1:16" s="20" customFormat="1" ht="16.5" hidden="1">
      <c r="A3" s="363"/>
      <c r="B3" s="366" t="s">
        <v>0</v>
      </c>
      <c r="C3" s="363"/>
      <c r="D3" s="363"/>
      <c r="E3" s="363"/>
      <c r="F3" s="363"/>
      <c r="G3" s="363"/>
      <c r="H3" s="363"/>
      <c r="I3" s="363"/>
      <c r="J3" s="365"/>
      <c r="P3" s="19"/>
    </row>
    <row r="4" spans="1:31" s="20" customFormat="1" ht="15" hidden="1">
      <c r="A4" s="365"/>
      <c r="B4" s="367"/>
      <c r="C4" s="367"/>
      <c r="D4" s="368" t="s">
        <v>1</v>
      </c>
      <c r="E4" s="368" t="s">
        <v>2</v>
      </c>
      <c r="F4" s="368" t="s">
        <v>3</v>
      </c>
      <c r="G4" s="368" t="s">
        <v>4</v>
      </c>
      <c r="H4" s="368" t="s">
        <v>5</v>
      </c>
      <c r="I4" s="368" t="s">
        <v>6</v>
      </c>
      <c r="J4" s="363"/>
      <c r="K4" s="19"/>
      <c r="P4" s="19"/>
      <c r="AD4" s="20" t="s">
        <v>43</v>
      </c>
      <c r="AE4" s="22">
        <f>(E5+H5)*184</f>
        <v>55200</v>
      </c>
    </row>
    <row r="5" spans="1:31" s="20" customFormat="1" ht="15" hidden="1">
      <c r="A5" s="365"/>
      <c r="B5" s="369" t="s">
        <v>10</v>
      </c>
      <c r="C5" s="367"/>
      <c r="D5" s="370">
        <f>Leimikkotiedot!D6</f>
        <v>20</v>
      </c>
      <c r="E5" s="370">
        <f>Leimikkotiedot!E6</f>
        <v>180</v>
      </c>
      <c r="F5" s="370">
        <f>Leimikkotiedot!F6</f>
        <v>20</v>
      </c>
      <c r="G5" s="370">
        <f>Leimikkotiedot!G6</f>
        <v>30</v>
      </c>
      <c r="H5" s="370">
        <f>Leimikkotiedot!H6</f>
        <v>120</v>
      </c>
      <c r="I5" s="370">
        <f>Leimikkotiedot!I6</f>
        <v>80</v>
      </c>
      <c r="J5" s="363"/>
      <c r="K5" s="19"/>
      <c r="P5" s="19"/>
      <c r="AD5" s="20" t="s">
        <v>42</v>
      </c>
      <c r="AE5" s="20">
        <f>(D5+G5)*94</f>
        <v>4700</v>
      </c>
    </row>
    <row r="6" spans="1:31" s="20" customFormat="1" ht="15" hidden="1">
      <c r="A6" s="365"/>
      <c r="B6" s="369" t="s">
        <v>7</v>
      </c>
      <c r="C6" s="367"/>
      <c r="D6" s="370">
        <f>Leimikkotiedot!D7</f>
        <v>2</v>
      </c>
      <c r="E6" s="367"/>
      <c r="F6" s="367"/>
      <c r="G6" s="367"/>
      <c r="H6" s="367"/>
      <c r="I6" s="367"/>
      <c r="J6" s="363"/>
      <c r="K6" s="19"/>
      <c r="P6" s="19"/>
      <c r="AD6" s="20" t="s">
        <v>44</v>
      </c>
      <c r="AE6" s="20">
        <f>(F5+I5)*85</f>
        <v>8500</v>
      </c>
    </row>
    <row r="7" spans="1:16" s="20" customFormat="1" ht="15" hidden="1">
      <c r="A7" s="365"/>
      <c r="B7" s="369" t="s">
        <v>8</v>
      </c>
      <c r="C7" s="367"/>
      <c r="D7" s="370">
        <f>Leimikkotiedot!D8</f>
        <v>250</v>
      </c>
      <c r="E7" s="367"/>
      <c r="F7" s="367"/>
      <c r="G7" s="367"/>
      <c r="H7" s="367"/>
      <c r="I7" s="367"/>
      <c r="J7" s="365"/>
      <c r="P7" s="19"/>
    </row>
    <row r="8" spans="1:35" s="20" customFormat="1" ht="15" hidden="1">
      <c r="A8" s="365"/>
      <c r="B8" s="371" t="s">
        <v>9</v>
      </c>
      <c r="C8" s="367"/>
      <c r="D8" s="370">
        <f>Leimikkotiedot!D9</f>
        <v>45</v>
      </c>
      <c r="E8" s="367"/>
      <c r="F8" s="367"/>
      <c r="G8" s="367"/>
      <c r="H8" s="367"/>
      <c r="I8" s="367"/>
      <c r="J8" s="365"/>
      <c r="P8" s="19"/>
      <c r="AD8" s="24" t="s">
        <v>45</v>
      </c>
      <c r="AE8" s="25">
        <f>(19.8*(1-D11)-2.441*D11)*(1/(1-D11))</f>
        <v>16.816555555555556</v>
      </c>
      <c r="AF8" s="24" t="s">
        <v>48</v>
      </c>
      <c r="AG8" s="25">
        <f>(19.7*(1-D15)-2.441*D15)*(1/(1-D15))</f>
        <v>18.072666666666667</v>
      </c>
      <c r="AI8" s="25">
        <f>(19.7*(1-D13)-2.441*D13)*(1/(1-D13))</f>
        <v>17.702818181818184</v>
      </c>
    </row>
    <row r="9" spans="1:35" s="20" customFormat="1" ht="15" hidden="1">
      <c r="A9" s="365"/>
      <c r="B9" s="371"/>
      <c r="C9" s="367"/>
      <c r="D9" s="372"/>
      <c r="E9" s="367"/>
      <c r="F9" s="367"/>
      <c r="G9" s="367"/>
      <c r="H9" s="367"/>
      <c r="I9" s="367"/>
      <c r="J9" s="365"/>
      <c r="P9" s="19"/>
      <c r="AD9" s="24"/>
      <c r="AE9" s="25"/>
      <c r="AF9" s="24"/>
      <c r="AG9" s="25"/>
      <c r="AI9" s="25"/>
    </row>
    <row r="10" spans="1:35" s="20" customFormat="1" ht="15" hidden="1">
      <c r="A10" s="365"/>
      <c r="B10" s="371"/>
      <c r="C10" s="367"/>
      <c r="D10" s="372"/>
      <c r="E10" s="367"/>
      <c r="F10" s="367"/>
      <c r="G10" s="367"/>
      <c r="H10" s="367"/>
      <c r="I10" s="367"/>
      <c r="J10" s="365"/>
      <c r="P10" s="19"/>
      <c r="AD10" s="24"/>
      <c r="AE10" s="25"/>
      <c r="AF10" s="24"/>
      <c r="AG10" s="25"/>
      <c r="AI10" s="25"/>
    </row>
    <row r="11" spans="1:35" s="20" customFormat="1" ht="15" hidden="1">
      <c r="A11" s="365"/>
      <c r="B11" s="369" t="s">
        <v>118</v>
      </c>
      <c r="C11" s="373"/>
      <c r="D11" s="374">
        <f>Leimikkotiedot!F14</f>
        <v>0.55</v>
      </c>
      <c r="E11" s="367"/>
      <c r="F11" s="367"/>
      <c r="G11" s="367"/>
      <c r="H11" s="367"/>
      <c r="I11" s="367"/>
      <c r="J11" s="365"/>
      <c r="P11" s="19"/>
      <c r="AD11" s="24" t="s">
        <v>46</v>
      </c>
      <c r="AE11" s="25">
        <f>(20.5*(1-D11)-2.441*D11)*(1/(1-D11))</f>
        <v>17.516555555555556</v>
      </c>
      <c r="AF11" s="24" t="s">
        <v>49</v>
      </c>
      <c r="AG11" s="25">
        <f>(20.4*(1-D15)-2.441*D15)*(1/(1-D15))</f>
        <v>18.772666666666666</v>
      </c>
      <c r="AI11" s="25">
        <f>(20.4*(1-D13)-2.441*D13)*(1/(1-D13))</f>
        <v>18.402818181818184</v>
      </c>
    </row>
    <row r="12" spans="1:35" s="20" customFormat="1" ht="15" hidden="1">
      <c r="A12" s="365"/>
      <c r="B12" s="369" t="s">
        <v>119</v>
      </c>
      <c r="C12" s="373"/>
      <c r="D12" s="374">
        <f>Leimikkotiedot!F15</f>
        <v>0.7</v>
      </c>
      <c r="E12" s="367"/>
      <c r="F12" s="367"/>
      <c r="G12" s="367"/>
      <c r="H12" s="367"/>
      <c r="I12" s="367"/>
      <c r="J12" s="365"/>
      <c r="P12" s="19"/>
      <c r="AD12" s="24" t="s">
        <v>47</v>
      </c>
      <c r="AE12" s="25">
        <f>(19.7*(1-D11)-2.441*D11)*(1/(1-D11))</f>
        <v>16.71655555555555</v>
      </c>
      <c r="AF12" s="24" t="s">
        <v>50</v>
      </c>
      <c r="AG12" s="25">
        <f>(19.7*(1-D15)-2.441*D15)*(1/(1-D15))</f>
        <v>18.072666666666667</v>
      </c>
      <c r="AI12" s="25">
        <f>(19.7*(1-D13)-2.441*D13)*(1/(1-D13))</f>
        <v>17.702818181818184</v>
      </c>
    </row>
    <row r="13" spans="1:33" s="20" customFormat="1" ht="15" hidden="1">
      <c r="A13" s="365"/>
      <c r="B13" s="369" t="s">
        <v>120</v>
      </c>
      <c r="C13" s="375"/>
      <c r="D13" s="376">
        <f>Leimikkotiedot!F16</f>
        <v>0.45</v>
      </c>
      <c r="E13" s="367"/>
      <c r="F13" s="367"/>
      <c r="G13" s="367"/>
      <c r="H13" s="367"/>
      <c r="I13" s="367"/>
      <c r="J13" s="365"/>
      <c r="P13" s="19"/>
      <c r="AD13" s="24"/>
      <c r="AE13" s="25"/>
      <c r="AF13" s="24"/>
      <c r="AG13" s="25"/>
    </row>
    <row r="14" spans="1:33" s="20" customFormat="1" ht="15" hidden="1">
      <c r="A14" s="365"/>
      <c r="B14" s="369" t="s">
        <v>121</v>
      </c>
      <c r="C14" s="375"/>
      <c r="D14" s="376">
        <f>(1-Leimikkotiedot!F17)*D12</f>
        <v>0.63</v>
      </c>
      <c r="E14" s="367"/>
      <c r="F14" s="367"/>
      <c r="G14" s="367"/>
      <c r="H14" s="367"/>
      <c r="I14" s="367"/>
      <c r="J14" s="365"/>
      <c r="P14" s="19"/>
      <c r="AD14" s="24"/>
      <c r="AE14" s="25"/>
      <c r="AF14" s="24"/>
      <c r="AG14" s="25"/>
    </row>
    <row r="15" spans="1:33" s="20" customFormat="1" ht="15" hidden="1">
      <c r="A15" s="365"/>
      <c r="B15" s="369" t="s">
        <v>122</v>
      </c>
      <c r="C15" s="377"/>
      <c r="D15" s="378">
        <f>Leimikkotiedot!F18</f>
        <v>0.4</v>
      </c>
      <c r="E15" s="367"/>
      <c r="F15" s="367"/>
      <c r="G15" s="367"/>
      <c r="H15" s="367"/>
      <c r="I15" s="367"/>
      <c r="J15" s="365"/>
      <c r="P15" s="19"/>
      <c r="AD15" s="24"/>
      <c r="AE15" s="25"/>
      <c r="AF15" s="24"/>
      <c r="AG15" s="25"/>
    </row>
    <row r="16" spans="1:33" s="20" customFormat="1" ht="15" hidden="1">
      <c r="A16" s="365"/>
      <c r="B16" s="369" t="s">
        <v>123</v>
      </c>
      <c r="C16" s="377"/>
      <c r="D16" s="378">
        <f>(1-Leimikkotiedot!F19)*D12</f>
        <v>0.5599999999999999</v>
      </c>
      <c r="E16" s="367"/>
      <c r="F16" s="367"/>
      <c r="G16" s="367"/>
      <c r="H16" s="367"/>
      <c r="I16" s="367"/>
      <c r="J16" s="365"/>
      <c r="P16" s="19"/>
      <c r="AD16" s="24"/>
      <c r="AE16" s="25"/>
      <c r="AF16" s="24"/>
      <c r="AG16" s="25"/>
    </row>
    <row r="17" spans="1:16" s="20" customFormat="1" ht="15" hidden="1">
      <c r="A17" s="365"/>
      <c r="B17" s="371" t="s">
        <v>29</v>
      </c>
      <c r="C17" s="367"/>
      <c r="D17" s="379">
        <f>Leimikkotiedot!F20</f>
        <v>15</v>
      </c>
      <c r="E17" s="367"/>
      <c r="F17" s="367"/>
      <c r="G17" s="367"/>
      <c r="H17" s="367"/>
      <c r="I17" s="367"/>
      <c r="J17" s="365"/>
      <c r="P17" s="19"/>
    </row>
    <row r="18" spans="1:16" s="20" customFormat="1" ht="15.75" hidden="1">
      <c r="A18" s="365"/>
      <c r="B18" s="380"/>
      <c r="C18" s="365"/>
      <c r="D18" s="363"/>
      <c r="E18" s="365"/>
      <c r="F18" s="365"/>
      <c r="G18" s="365"/>
      <c r="H18" s="365"/>
      <c r="I18" s="365"/>
      <c r="J18" s="365"/>
      <c r="P18" s="19"/>
    </row>
    <row r="19" spans="1:16" s="20" customFormat="1" ht="15.75" hidden="1">
      <c r="A19" s="365"/>
      <c r="B19" s="380"/>
      <c r="C19" s="365"/>
      <c r="D19" s="381" t="s">
        <v>106</v>
      </c>
      <c r="E19" s="382" t="s">
        <v>107</v>
      </c>
      <c r="F19" s="382" t="s">
        <v>108</v>
      </c>
      <c r="G19" s="382" t="s">
        <v>109</v>
      </c>
      <c r="H19" s="365"/>
      <c r="I19" s="365"/>
      <c r="J19" s="365"/>
      <c r="P19" s="19"/>
    </row>
    <row r="20" spans="1:16" s="20" customFormat="1" ht="16.5" hidden="1">
      <c r="A20" s="365"/>
      <c r="B20" s="383" t="s">
        <v>21</v>
      </c>
      <c r="C20" s="365"/>
      <c r="D20" s="379">
        <f>((E5+H5)*184/425+(D5+G5)*94/395+(F5+I5)*85/500)*D12</f>
        <v>111.14676098287416</v>
      </c>
      <c r="E20" s="379">
        <f>(AE4*AE8+AE5*AE11+AE6*AE12)*0.278*D12*0.001</f>
        <v>224.31394103999997</v>
      </c>
      <c r="F20" s="379">
        <f>D20/D6</f>
        <v>55.57338049143708</v>
      </c>
      <c r="G20" s="379">
        <f>E20/D6</f>
        <v>112.15697051999999</v>
      </c>
      <c r="H20" s="365"/>
      <c r="I20" s="365"/>
      <c r="J20" s="365"/>
      <c r="P20" s="19"/>
    </row>
    <row r="21" spans="1:16" s="20" customFormat="1" ht="16.5" hidden="1">
      <c r="A21" s="365"/>
      <c r="B21" s="383"/>
      <c r="C21" s="365"/>
      <c r="D21" s="384" t="s">
        <v>110</v>
      </c>
      <c r="E21" s="384" t="s">
        <v>111</v>
      </c>
      <c r="F21" s="384" t="s">
        <v>112</v>
      </c>
      <c r="G21" s="384" t="s">
        <v>113</v>
      </c>
      <c r="H21" s="365"/>
      <c r="I21" s="365"/>
      <c r="J21" s="365"/>
      <c r="P21" s="19"/>
    </row>
    <row r="22" spans="1:16" s="20" customFormat="1" ht="16.5" hidden="1">
      <c r="A22" s="365"/>
      <c r="B22" s="383"/>
      <c r="C22" s="365"/>
      <c r="D22" s="379">
        <f>((E5+H5)*184/425+(D5+G5)*94/395+(F5+I5)*85/500)*(D14)</f>
        <v>100.03208488458675</v>
      </c>
      <c r="E22" s="379">
        <f>(AE4*AI8+AE5*AI11+AE6*AI12)*0.278*(D14)*0.001</f>
        <v>212.64846642327274</v>
      </c>
      <c r="F22" s="379">
        <f>D22/D6</f>
        <v>50.016042442293376</v>
      </c>
      <c r="G22" s="379">
        <f>E22/D6</f>
        <v>106.32423321163637</v>
      </c>
      <c r="H22" s="365"/>
      <c r="I22" s="365"/>
      <c r="J22" s="365"/>
      <c r="P22" s="19"/>
    </row>
    <row r="23" spans="1:16" s="20" customFormat="1" ht="15" hidden="1">
      <c r="A23" s="365"/>
      <c r="B23" s="365"/>
      <c r="C23" s="365"/>
      <c r="D23" s="385" t="s">
        <v>114</v>
      </c>
      <c r="E23" s="386" t="s">
        <v>115</v>
      </c>
      <c r="F23" s="386" t="s">
        <v>116</v>
      </c>
      <c r="G23" s="386" t="s">
        <v>117</v>
      </c>
      <c r="H23" s="365"/>
      <c r="I23" s="365"/>
      <c r="J23" s="365"/>
      <c r="P23" s="19"/>
    </row>
    <row r="24" spans="1:16" s="20" customFormat="1" ht="15" hidden="1">
      <c r="A24" s="365"/>
      <c r="B24" s="365"/>
      <c r="C24" s="365"/>
      <c r="D24" s="379">
        <f>((E5+H5)*184/425+(D5+G5)*94/395+(F5+I5)*85/500)*(D16)</f>
        <v>88.91740878629932</v>
      </c>
      <c r="E24" s="379">
        <f>(AE4*AG8+AE5*AG11+AE6*AG12)*0.278*(D16)*0.001</f>
        <v>192.959195072</v>
      </c>
      <c r="F24" s="379">
        <f>D24/D6</f>
        <v>44.45870439314966</v>
      </c>
      <c r="G24" s="379">
        <f>E24/D6</f>
        <v>96.479597536</v>
      </c>
      <c r="H24" s="365"/>
      <c r="I24" s="365"/>
      <c r="J24" s="365"/>
      <c r="P24" s="19"/>
    </row>
    <row r="25" spans="1:16" s="20" customFormat="1" ht="15.75" hidden="1">
      <c r="A25" s="365"/>
      <c r="B25" s="365"/>
      <c r="C25" s="365"/>
      <c r="D25" s="387"/>
      <c r="E25" s="387"/>
      <c r="F25" s="387"/>
      <c r="G25" s="387"/>
      <c r="H25" s="365"/>
      <c r="I25" s="365"/>
      <c r="J25" s="365"/>
      <c r="P25" s="19"/>
    </row>
    <row r="26" spans="1:16" s="20" customFormat="1" ht="15.75">
      <c r="A26" s="389"/>
      <c r="B26" s="389"/>
      <c r="C26" s="389"/>
      <c r="D26" s="390"/>
      <c r="E26" s="390"/>
      <c r="F26" s="390"/>
      <c r="G26" s="390"/>
      <c r="H26" s="389"/>
      <c r="I26" s="389"/>
      <c r="J26" s="389"/>
      <c r="P26" s="19"/>
    </row>
    <row r="27" spans="2:16" s="12" customFormat="1" ht="29.25">
      <c r="B27" s="139" t="s">
        <v>173</v>
      </c>
      <c r="C27" s="140"/>
      <c r="D27" s="141"/>
      <c r="E27" s="141"/>
      <c r="F27" s="94"/>
      <c r="G27" s="93"/>
      <c r="P27" s="53"/>
    </row>
    <row r="28" spans="1:16" s="20" customFormat="1" ht="15.75">
      <c r="A28" s="389"/>
      <c r="B28" s="391"/>
      <c r="C28" s="389"/>
      <c r="D28" s="390"/>
      <c r="E28" s="390"/>
      <c r="F28" s="392"/>
      <c r="G28" s="393"/>
      <c r="H28" s="389"/>
      <c r="I28" s="389"/>
      <c r="J28" s="389"/>
      <c r="P28" s="19"/>
    </row>
    <row r="29" spans="4:16" s="12" customFormat="1" ht="16.5">
      <c r="D29" s="28"/>
      <c r="E29" s="28"/>
      <c r="F29" s="28"/>
      <c r="G29" s="28"/>
      <c r="P29" s="53"/>
    </row>
    <row r="30" spans="2:7" ht="19.5">
      <c r="B30" s="101" t="s">
        <v>100</v>
      </c>
      <c r="D30" s="30"/>
      <c r="E30" s="30"/>
      <c r="F30" s="30"/>
      <c r="G30" s="30"/>
    </row>
    <row r="31" spans="2:7" ht="16.5">
      <c r="B31" s="114"/>
      <c r="C31" s="114"/>
      <c r="D31" s="143" t="s">
        <v>53</v>
      </c>
      <c r="E31" s="143" t="s">
        <v>22</v>
      </c>
      <c r="F31" s="144" t="s">
        <v>54</v>
      </c>
      <c r="G31" s="4"/>
    </row>
    <row r="32" spans="2:29" ht="20.25" thickBot="1">
      <c r="B32" s="116" t="s">
        <v>198</v>
      </c>
      <c r="C32" s="124"/>
      <c r="D32" s="315"/>
      <c r="E32" s="323">
        <v>0</v>
      </c>
      <c r="F32" s="325">
        <f>IF(COUNTA(C32:D32)=1,D32,E32)</f>
        <v>0</v>
      </c>
      <c r="G32" s="4"/>
      <c r="AC32" s="5" t="s">
        <v>143</v>
      </c>
    </row>
    <row r="33" spans="2:36" ht="21" thickBot="1" thickTop="1">
      <c r="B33" s="119" t="s">
        <v>199</v>
      </c>
      <c r="C33" s="125"/>
      <c r="D33" s="316"/>
      <c r="E33" s="324">
        <f>2/6</f>
        <v>0.3333333333333333</v>
      </c>
      <c r="F33" s="326">
        <f>IF(COUNTA(C33:D33)=1,D33,E33)</f>
        <v>0.3333333333333333</v>
      </c>
      <c r="G33" s="4"/>
      <c r="AC33" s="85" t="s">
        <v>99</v>
      </c>
      <c r="AD33" s="86" t="s">
        <v>147</v>
      </c>
      <c r="AE33" s="86" t="s">
        <v>148</v>
      </c>
      <c r="AF33" s="86" t="s">
        <v>149</v>
      </c>
      <c r="AG33" s="85" t="s">
        <v>150</v>
      </c>
      <c r="AH33" s="81" t="s">
        <v>144</v>
      </c>
      <c r="AI33" s="81" t="s">
        <v>149</v>
      </c>
      <c r="AJ33" s="82" t="s">
        <v>150</v>
      </c>
    </row>
    <row r="34" spans="2:36" ht="21" thickBot="1" thickTop="1">
      <c r="B34" s="122" t="s">
        <v>200</v>
      </c>
      <c r="C34" s="125"/>
      <c r="D34" s="316"/>
      <c r="E34" s="324">
        <f>18/6</f>
        <v>3</v>
      </c>
      <c r="F34" s="326">
        <f>IF(COUNTA(C34:D34)=1,D34,E34)</f>
        <v>3</v>
      </c>
      <c r="G34" s="4"/>
      <c r="AB34" s="5" t="s">
        <v>145</v>
      </c>
      <c r="AC34" s="87">
        <f>(F38-F34)+F52</f>
        <v>8.33872602686753</v>
      </c>
      <c r="AD34" s="88">
        <f>POWER(1+Leimikkotiedot!F23,AE34)</f>
        <v>1.0196128224222163</v>
      </c>
      <c r="AE34" s="89">
        <f>Leimikkotiedot!F21/12</f>
        <v>0.3333333333333333</v>
      </c>
      <c r="AF34" s="90">
        <f>AC34*AD34</f>
        <v>8.502271979659996</v>
      </c>
      <c r="AG34" s="90">
        <f>AF34-AC34</f>
        <v>0.1635459527924663</v>
      </c>
      <c r="AH34" s="83">
        <f>(H38-F34)+H52</f>
        <v>8.398362891247526</v>
      </c>
      <c r="AI34" s="84">
        <f>AH34*AD34</f>
        <v>8.563078491270895</v>
      </c>
      <c r="AJ34" s="84">
        <f>AI34-AH34</f>
        <v>0.16471560002336894</v>
      </c>
    </row>
    <row r="35" spans="2:36" ht="21" thickBot="1" thickTop="1">
      <c r="B35" s="145" t="s">
        <v>201</v>
      </c>
      <c r="C35" s="125"/>
      <c r="D35" s="316"/>
      <c r="E35" s="324">
        <f>5.5/6</f>
        <v>0.9166666666666666</v>
      </c>
      <c r="F35" s="326">
        <f>IF(COUNTA(C35:D35)=1,D35,E35)</f>
        <v>0.9166666666666666</v>
      </c>
      <c r="G35" s="31"/>
      <c r="AB35" s="17" t="s">
        <v>146</v>
      </c>
      <c r="AC35" s="87">
        <f>(H38-F34)+F53</f>
        <v>11.719276208184862</v>
      </c>
      <c r="AD35" s="88"/>
      <c r="AE35" s="89"/>
      <c r="AF35" s="90">
        <f>AD34*AC35</f>
        <v>11.949124291372897</v>
      </c>
      <c r="AG35" s="90">
        <f>AF35-AC35</f>
        <v>0.22984808318803474</v>
      </c>
      <c r="AH35" s="83">
        <f>(H38-F34)+H53</f>
        <v>10.888485247242222</v>
      </c>
      <c r="AI35" s="84">
        <f>AH35*AD34</f>
        <v>11.102039174843306</v>
      </c>
      <c r="AJ35" s="84">
        <f>AI35-AH35</f>
        <v>0.21355392760108316</v>
      </c>
    </row>
    <row r="36" spans="2:36" ht="13.5" thickTop="1">
      <c r="B36" s="21"/>
      <c r="D36" s="10"/>
      <c r="E36" s="137"/>
      <c r="F36" s="10"/>
      <c r="G36" s="138"/>
      <c r="H36" s="9"/>
      <c r="I36" s="76"/>
      <c r="AC36" s="61"/>
      <c r="AD36" s="61"/>
      <c r="AE36" s="61"/>
      <c r="AF36" s="61"/>
      <c r="AG36" s="61"/>
      <c r="AH36" s="61"/>
      <c r="AI36" s="61"/>
      <c r="AJ36" s="61"/>
    </row>
    <row r="37" spans="2:9" ht="16.5">
      <c r="B37" s="21"/>
      <c r="D37" s="150" t="s">
        <v>192</v>
      </c>
      <c r="E37" s="150" t="s">
        <v>195</v>
      </c>
      <c r="F37" s="151" t="s">
        <v>193</v>
      </c>
      <c r="G37" s="151" t="s">
        <v>202</v>
      </c>
      <c r="H37" s="152" t="s">
        <v>194</v>
      </c>
      <c r="I37" s="153" t="s">
        <v>197</v>
      </c>
    </row>
    <row r="38" spans="2:9" s="4" customFormat="1" ht="19.5">
      <c r="B38" s="142" t="s">
        <v>174</v>
      </c>
      <c r="C38" s="79"/>
      <c r="D38" s="147">
        <f>F32+F33+F34</f>
        <v>3.3333333333333335</v>
      </c>
      <c r="E38" s="147">
        <f>D38*(D20/E20)</f>
        <v>1.6516548260822588</v>
      </c>
      <c r="F38" s="148">
        <f>F32+((F33)*(D12/D14))+F34+F35</f>
        <v>4.287037037037037</v>
      </c>
      <c r="G38" s="148">
        <f>F38*(D22/E22)</f>
        <v>2.0166675076727607</v>
      </c>
      <c r="H38" s="154">
        <f>(F33)*(D12/D16)+F32+F34+F35</f>
        <v>4.333333333333333</v>
      </c>
      <c r="I38" s="154">
        <f>H38*(D24/E24)</f>
        <v>1.9968406857394099</v>
      </c>
    </row>
    <row r="39" spans="1:10" s="130" customFormat="1" ht="15">
      <c r="A39" s="301"/>
      <c r="B39" s="301"/>
      <c r="C39" s="301"/>
      <c r="D39" s="301"/>
      <c r="E39" s="301"/>
      <c r="F39" s="301"/>
      <c r="G39" s="301"/>
      <c r="H39" s="301"/>
      <c r="I39" s="301"/>
      <c r="J39" s="301"/>
    </row>
    <row r="40" s="130" customFormat="1" ht="15"/>
    <row r="41" ht="19.5">
      <c r="B41" s="101" t="s">
        <v>11</v>
      </c>
    </row>
    <row r="42" spans="1:8" ht="16.5">
      <c r="A42" s="4"/>
      <c r="B42" s="114"/>
      <c r="C42" s="114"/>
      <c r="D42" s="143" t="s">
        <v>53</v>
      </c>
      <c r="E42" s="143" t="s">
        <v>22</v>
      </c>
      <c r="F42" s="144" t="s">
        <v>54</v>
      </c>
      <c r="H42" s="11"/>
    </row>
    <row r="43" spans="2:8" ht="20.25" thickBot="1">
      <c r="B43" s="163" t="s">
        <v>12</v>
      </c>
      <c r="C43" s="164"/>
      <c r="D43" s="315"/>
      <c r="E43" s="319">
        <v>7.8</v>
      </c>
      <c r="F43" s="325">
        <f aca="true" t="shared" si="0" ref="F43:F49">IF(COUNTA(C43:D43)=1,D43,E43)</f>
        <v>7.8</v>
      </c>
      <c r="G43" s="4"/>
      <c r="H43" s="34"/>
    </row>
    <row r="44" spans="2:8" ht="21" thickBot="1" thickTop="1">
      <c r="B44" s="238" t="s">
        <v>218</v>
      </c>
      <c r="C44" s="165"/>
      <c r="D44" s="317"/>
      <c r="E44" s="320">
        <v>1.2</v>
      </c>
      <c r="F44" s="327">
        <f t="shared" si="0"/>
        <v>1.2</v>
      </c>
      <c r="G44" s="4"/>
      <c r="H44" s="34"/>
    </row>
    <row r="45" spans="2:9" ht="21" thickBot="1" thickTop="1">
      <c r="B45" s="119" t="s">
        <v>203</v>
      </c>
      <c r="C45" s="145"/>
      <c r="D45" s="316"/>
      <c r="E45" s="321">
        <f>360/6</f>
        <v>60</v>
      </c>
      <c r="F45" s="278">
        <f t="shared" si="0"/>
        <v>60</v>
      </c>
      <c r="G45" s="4"/>
      <c r="I45" s="11"/>
    </row>
    <row r="46" spans="2:7" ht="21" thickBot="1" thickTop="1">
      <c r="B46" s="145" t="s">
        <v>13</v>
      </c>
      <c r="C46" s="145"/>
      <c r="D46" s="316"/>
      <c r="E46" s="281">
        <v>4.7</v>
      </c>
      <c r="F46" s="326">
        <f t="shared" si="0"/>
        <v>4.7</v>
      </c>
      <c r="G46" s="4"/>
    </row>
    <row r="47" spans="2:7" ht="21" thickBot="1" thickTop="1">
      <c r="B47" s="238" t="s">
        <v>219</v>
      </c>
      <c r="C47" s="145"/>
      <c r="D47" s="316"/>
      <c r="E47" s="322">
        <v>1.3</v>
      </c>
      <c r="F47" s="328">
        <f t="shared" si="0"/>
        <v>1.3</v>
      </c>
      <c r="G47" s="4"/>
    </row>
    <row r="48" spans="2:32" ht="21" thickBot="1" thickTop="1">
      <c r="B48" s="119" t="s">
        <v>204</v>
      </c>
      <c r="C48" s="145"/>
      <c r="D48" s="316"/>
      <c r="E48" s="321">
        <f>270/6</f>
        <v>45</v>
      </c>
      <c r="F48" s="278">
        <f t="shared" si="0"/>
        <v>45</v>
      </c>
      <c r="G48" s="4"/>
      <c r="AC48" s="5" t="s">
        <v>160</v>
      </c>
      <c r="AD48" s="61" t="s">
        <v>161</v>
      </c>
      <c r="AE48" s="61" t="s">
        <v>161</v>
      </c>
      <c r="AF48" s="5" t="s">
        <v>162</v>
      </c>
    </row>
    <row r="49" spans="2:32" ht="21" thickBot="1" thickTop="1">
      <c r="B49" s="119" t="s">
        <v>205</v>
      </c>
      <c r="C49" s="125"/>
      <c r="D49" s="316"/>
      <c r="E49" s="321">
        <v>45</v>
      </c>
      <c r="F49" s="278">
        <f t="shared" si="0"/>
        <v>45</v>
      </c>
      <c r="G49" s="4"/>
      <c r="H49" s="3"/>
      <c r="AC49" s="18">
        <f>0.29+0.12*LN(0.06*AD49)</f>
        <v>0.20686083401899258</v>
      </c>
      <c r="AD49" s="18">
        <f>(D20/D6)/(100/D17)</f>
        <v>8.336007073715562</v>
      </c>
      <c r="AE49" s="18">
        <f>(D24/D6)/(100/D17)</f>
        <v>6.668805658972449</v>
      </c>
      <c r="AF49" s="5">
        <f>38/50</f>
        <v>0.76</v>
      </c>
    </row>
    <row r="50" spans="2:38" ht="13.5" thickTop="1">
      <c r="B50" s="17"/>
      <c r="D50" s="4"/>
      <c r="E50" s="4"/>
      <c r="F50" s="4"/>
      <c r="G50" s="4"/>
      <c r="AL50" s="5" t="s">
        <v>170</v>
      </c>
    </row>
    <row r="51" spans="4:38" ht="16.5">
      <c r="D51" s="150" t="s">
        <v>192</v>
      </c>
      <c r="E51" s="150" t="s">
        <v>195</v>
      </c>
      <c r="F51" s="151" t="s">
        <v>193</v>
      </c>
      <c r="G51" s="151" t="s">
        <v>202</v>
      </c>
      <c r="H51" s="152" t="s">
        <v>194</v>
      </c>
      <c r="I51" s="153" t="s">
        <v>197</v>
      </c>
      <c r="AC51" s="5" t="s">
        <v>32</v>
      </c>
      <c r="AD51" s="13" t="s">
        <v>33</v>
      </c>
      <c r="AE51" s="35" t="s">
        <v>33</v>
      </c>
      <c r="AF51" s="5" t="s">
        <v>34</v>
      </c>
      <c r="AG51" s="5" t="s">
        <v>35</v>
      </c>
      <c r="AH51" s="5" t="s">
        <v>36</v>
      </c>
      <c r="AJ51" s="5" t="s">
        <v>169</v>
      </c>
      <c r="AL51" s="18">
        <f>AK52*8</f>
        <v>10.591862081553563</v>
      </c>
    </row>
    <row r="52" spans="2:38" ht="19.5">
      <c r="B52" s="157" t="s">
        <v>85</v>
      </c>
      <c r="C52" s="156"/>
      <c r="D52" s="147">
        <f>(((AC52+AD52+AF52+AG52+AH52)*F44)/60)*F45+(F49/D20)</f>
        <v>6.346520090847445</v>
      </c>
      <c r="E52" s="147">
        <f>D52*(D20/E20)</f>
        <v>3.1446781610628594</v>
      </c>
      <c r="F52" s="247">
        <f>D52*(D12/D14)</f>
        <v>7.0516889898304935</v>
      </c>
      <c r="G52" s="247">
        <f>F52*(D22/E22)</f>
        <v>3.3171889902387264</v>
      </c>
      <c r="H52" s="149">
        <f>(((AC52+AE52+AF52+AG52+AH52)*F44)/60)*F45+(F49/F24)</f>
        <v>7.065029557914192</v>
      </c>
      <c r="I52" s="149">
        <f>H52*(D24/E24)</f>
        <v>3.255631953967979</v>
      </c>
      <c r="AC52" s="36">
        <f>0.6+(0.059-0.78*LN(AC49))</f>
        <v>1.8880530287644892</v>
      </c>
      <c r="AD52" s="37">
        <f>0.039/(0.06*AD49)+0.25+2.44/AD49</f>
        <v>0.6206810674073374</v>
      </c>
      <c r="AE52" s="38">
        <f>0.039/(0.06*AE49)+0.25+2.44/AE49</f>
        <v>0.7133513342591717</v>
      </c>
      <c r="AF52" s="36">
        <f>(0.5+0.018*(2*D7*0.53))/F43</f>
        <v>0.6756410256410256</v>
      </c>
      <c r="AG52" s="36">
        <f>(0.87+0.019*(2*D7*0.47))/(F43*AF49)</f>
        <v>0.899966261808367</v>
      </c>
      <c r="AH52" s="36">
        <f>0.2+(0.28-0.4*LN(0.38))</f>
        <v>0.8670336105046823</v>
      </c>
      <c r="AI52" s="97">
        <f>SUM(AC52:AH52)</f>
        <v>5.664726328385074</v>
      </c>
      <c r="AJ52" s="97">
        <f>AI52*8</f>
        <v>45.31781062708059</v>
      </c>
      <c r="AK52" s="97">
        <f>60/AJ52</f>
        <v>1.3239827601941954</v>
      </c>
      <c r="AL52" s="97">
        <f>AK52*8*2.5*8.2</f>
        <v>217.13317267184803</v>
      </c>
    </row>
    <row r="53" spans="2:34" s="4" customFormat="1" ht="19.5">
      <c r="B53" s="158" t="s">
        <v>24</v>
      </c>
      <c r="C53" s="159"/>
      <c r="D53" s="147">
        <f>(((AC53+AD53+AF53+AG53+AH53)*F47)/60)*F48</f>
        <v>9.347348587366376</v>
      </c>
      <c r="E53" s="147">
        <f>D53*(D20/E20)</f>
        <v>4.631578021619058</v>
      </c>
      <c r="F53" s="148">
        <f>D53*(D12/D14)</f>
        <v>10.385942874851528</v>
      </c>
      <c r="G53" s="148">
        <f>F53*(D22/E22)</f>
        <v>4.885657238626172</v>
      </c>
      <c r="H53" s="149">
        <f>(((AC53+AE53+AF53+AG53+AH53)*F47)/60)*F48</f>
        <v>9.55515191390889</v>
      </c>
      <c r="I53" s="149">
        <f>H53*(D24/E24)</f>
        <v>4.403103715410938</v>
      </c>
      <c r="AC53" s="160">
        <f>1.63+(-1.3299-2.1841*LN(AC49))</f>
        <v>3.7416060514416927</v>
      </c>
      <c r="AD53" s="161">
        <f>0.28/(0.06*AD49)+0.25+2.44/AD49</f>
        <v>1.1025264678667135</v>
      </c>
      <c r="AE53" s="162">
        <f>0.28/(0.06*AE49)+0.25+2.44/AE49</f>
        <v>1.315658084833392</v>
      </c>
      <c r="AF53" s="160">
        <f>(0.5+0.018*(2*D7*0.53))/F46</f>
        <v>1.1212765957446806</v>
      </c>
      <c r="AG53" s="160">
        <f>(0.87+0.019*(2*D7*0.47))/(F46*AF49)</f>
        <v>1.4935610302351623</v>
      </c>
      <c r="AH53" s="160">
        <f>0.33+(-0.034-1.48*LN(0.29))</f>
        <v>2.1280540468823936</v>
      </c>
    </row>
    <row r="54" spans="1:19" s="130" customFormat="1" ht="15">
      <c r="A54" s="301"/>
      <c r="B54" s="301"/>
      <c r="C54" s="301"/>
      <c r="D54" s="301"/>
      <c r="E54" s="301"/>
      <c r="F54" s="301"/>
      <c r="G54" s="301"/>
      <c r="H54" s="301"/>
      <c r="I54" s="301"/>
      <c r="J54" s="301"/>
      <c r="K54" s="301"/>
      <c r="L54" s="301"/>
      <c r="M54" s="301"/>
      <c r="N54" s="301"/>
      <c r="O54" s="301"/>
      <c r="P54" s="301"/>
      <c r="Q54" s="301"/>
      <c r="R54" s="301"/>
      <c r="S54" s="301"/>
    </row>
    <row r="55" s="130" customFormat="1" ht="15"/>
    <row r="56" spans="2:18" ht="19.5">
      <c r="B56" s="101" t="s">
        <v>14</v>
      </c>
      <c r="H56" s="101" t="s">
        <v>245</v>
      </c>
      <c r="K56" s="101" t="s">
        <v>14</v>
      </c>
      <c r="P56" s="5"/>
      <c r="R56" s="4"/>
    </row>
    <row r="57" spans="2:18" ht="16.5">
      <c r="B57" s="114"/>
      <c r="C57" s="114"/>
      <c r="D57" s="143" t="s">
        <v>53</v>
      </c>
      <c r="E57" s="143" t="s">
        <v>22</v>
      </c>
      <c r="F57" s="144" t="s">
        <v>54</v>
      </c>
      <c r="G57" s="4"/>
      <c r="K57" s="114"/>
      <c r="L57" s="114"/>
      <c r="M57" s="143" t="s">
        <v>53</v>
      </c>
      <c r="N57" s="143" t="s">
        <v>22</v>
      </c>
      <c r="O57" s="144" t="s">
        <v>54</v>
      </c>
      <c r="P57" s="5"/>
      <c r="R57" s="4"/>
    </row>
    <row r="58" spans="2:18" ht="20.25" thickBot="1">
      <c r="B58" s="164" t="s">
        <v>15</v>
      </c>
      <c r="C58" s="164"/>
      <c r="D58" s="315"/>
      <c r="E58" s="319">
        <v>70</v>
      </c>
      <c r="F58" s="329">
        <f>IF(COUNTA(C58:D58)=1,D58,E58)</f>
        <v>70</v>
      </c>
      <c r="G58" s="106" t="s">
        <v>243</v>
      </c>
      <c r="K58" s="165" t="s">
        <v>15</v>
      </c>
      <c r="L58" s="165"/>
      <c r="M58" s="332"/>
      <c r="N58" s="331">
        <v>70</v>
      </c>
      <c r="O58" s="330">
        <f>IF(COUNTA(L58:M58)=1,M58,N58)</f>
        <v>70</v>
      </c>
      <c r="P58" s="5"/>
      <c r="R58" s="4"/>
    </row>
    <row r="59" spans="2:18" ht="21" thickBot="1" thickTop="1">
      <c r="B59" s="145" t="s">
        <v>93</v>
      </c>
      <c r="C59" s="145"/>
      <c r="D59" s="318"/>
      <c r="E59" s="280">
        <v>0.25</v>
      </c>
      <c r="F59" s="277">
        <f>IF(COUNTA(C59:D59)=1,D59,E59)</f>
        <v>0.25</v>
      </c>
      <c r="G59" s="4"/>
      <c r="K59" s="145" t="s">
        <v>93</v>
      </c>
      <c r="L59" s="145"/>
      <c r="M59" s="333"/>
      <c r="N59" s="280">
        <v>0</v>
      </c>
      <c r="O59" s="277">
        <f>IF(COUNTA(L59:M59)=1,M59,N59)</f>
        <v>0</v>
      </c>
      <c r="P59" s="5"/>
      <c r="R59" s="4"/>
    </row>
    <row r="60" spans="2:18" ht="21" thickBot="1" thickTop="1">
      <c r="B60" s="145" t="s">
        <v>206</v>
      </c>
      <c r="C60" s="145"/>
      <c r="D60" s="316"/>
      <c r="E60" s="321">
        <f>940/6</f>
        <v>156.66666666666666</v>
      </c>
      <c r="F60" s="278">
        <f>IF(COUNTA(C60:D60)=1,D60,E60)</f>
        <v>156.66666666666666</v>
      </c>
      <c r="G60" s="4"/>
      <c r="K60" s="145" t="s">
        <v>208</v>
      </c>
      <c r="L60" s="145"/>
      <c r="M60" s="334"/>
      <c r="N60" s="281">
        <f>726/6</f>
        <v>121</v>
      </c>
      <c r="O60" s="278">
        <f>IF(COUNTA(L60:M60)=1,M60,N60)</f>
        <v>121</v>
      </c>
      <c r="P60" s="5"/>
      <c r="R60" s="4"/>
    </row>
    <row r="61" spans="2:18" ht="21" thickBot="1" thickTop="1">
      <c r="B61" s="145" t="s">
        <v>207</v>
      </c>
      <c r="C61" s="145"/>
      <c r="D61" s="316"/>
      <c r="E61" s="321">
        <f>70*6/6</f>
        <v>70</v>
      </c>
      <c r="F61" s="278">
        <f>IF(COUNTA(C61:D61)=1,D61,E61)</f>
        <v>70</v>
      </c>
      <c r="G61" s="4"/>
      <c r="K61" s="145" t="s">
        <v>209</v>
      </c>
      <c r="L61" s="145"/>
      <c r="M61" s="334"/>
      <c r="N61" s="321">
        <f>280/6</f>
        <v>46.666666666666664</v>
      </c>
      <c r="O61" s="278">
        <f>IF(COUNTA(L61:M61)=1,M61,N61)</f>
        <v>46.666666666666664</v>
      </c>
      <c r="P61" s="5"/>
      <c r="R61" s="4"/>
    </row>
    <row r="62" spans="2:18" ht="13.5" thickTop="1">
      <c r="B62" s="21"/>
      <c r="D62" s="39"/>
      <c r="E62" s="39"/>
      <c r="F62" s="4"/>
      <c r="G62" s="4"/>
      <c r="M62" s="4"/>
      <c r="N62" s="4"/>
      <c r="P62" s="5"/>
      <c r="R62" s="4"/>
    </row>
    <row r="63" spans="4:18" ht="16.5">
      <c r="D63" s="150" t="s">
        <v>192</v>
      </c>
      <c r="E63" s="150" t="s">
        <v>195</v>
      </c>
      <c r="F63" s="151" t="s">
        <v>193</v>
      </c>
      <c r="G63" s="151" t="s">
        <v>202</v>
      </c>
      <c r="H63" s="152" t="s">
        <v>194</v>
      </c>
      <c r="I63" s="153" t="s">
        <v>197</v>
      </c>
      <c r="M63" s="150" t="s">
        <v>192</v>
      </c>
      <c r="N63" s="150" t="s">
        <v>195</v>
      </c>
      <c r="O63" s="151" t="s">
        <v>193</v>
      </c>
      <c r="P63" s="151" t="s">
        <v>202</v>
      </c>
      <c r="Q63" s="152" t="s">
        <v>194</v>
      </c>
      <c r="R63" s="153" t="s">
        <v>197</v>
      </c>
    </row>
    <row r="64" spans="2:18" s="4" customFormat="1" ht="19.5">
      <c r="B64" s="158" t="s">
        <v>25</v>
      </c>
      <c r="D64" s="147">
        <f>(F60/F58)*2.5+(F61/D20)</f>
        <v>6.225036025299105</v>
      </c>
      <c r="E64" s="147">
        <f>D64*(D20/E20)</f>
        <v>3.0844832381163565</v>
      </c>
      <c r="F64" s="148">
        <f>(F60/((1-F59)*F58))*2.5+(F61/D22)</f>
        <v>8.160092938163027</v>
      </c>
      <c r="G64" s="148">
        <f>F64*(D22/E22)</f>
        <v>3.8385939159874716</v>
      </c>
      <c r="H64" s="149">
        <f>(F60/((1-F59)*F58))*2.5+(F61/D24)</f>
        <v>8.247564872893722</v>
      </c>
      <c r="I64" s="149">
        <f>H64*(D24/E24)</f>
        <v>3.80055532995447</v>
      </c>
      <c r="K64" s="158" t="s">
        <v>27</v>
      </c>
      <c r="M64" s="147">
        <f>(O60/O58)*2.5+(O61/D20)</f>
        <v>4.741293858135911</v>
      </c>
      <c r="N64" s="147">
        <f>M64*(D20/E20)</f>
        <v>2.349294264799305</v>
      </c>
      <c r="O64" s="148">
        <f>(O60/((1-O59)*O58))*2.5+(O61/D22)</f>
        <v>4.787945556658949</v>
      </c>
      <c r="P64" s="148">
        <f>O64*(D22/E22)</f>
        <v>2.252300166572331</v>
      </c>
      <c r="Q64" s="149">
        <f>(O60/((1-O59)*O58))*2.5+(O61/D24)</f>
        <v>4.846260179812746</v>
      </c>
      <c r="R64" s="149">
        <f>Q64*(D24/E24)</f>
        <v>2.2332021924758956</v>
      </c>
    </row>
    <row r="65" spans="1:19" s="4" customFormat="1" ht="15">
      <c r="A65" s="300"/>
      <c r="B65" s="301"/>
      <c r="C65" s="300"/>
      <c r="D65" s="300"/>
      <c r="E65" s="300"/>
      <c r="F65" s="300"/>
      <c r="G65" s="300"/>
      <c r="H65" s="300"/>
      <c r="I65" s="300"/>
      <c r="J65" s="300"/>
      <c r="K65" s="300"/>
      <c r="L65" s="300"/>
      <c r="M65" s="300"/>
      <c r="N65" s="300"/>
      <c r="O65" s="300"/>
      <c r="P65" s="300"/>
      <c r="Q65" s="300"/>
      <c r="R65" s="300"/>
      <c r="S65" s="300"/>
    </row>
    <row r="66" s="4" customFormat="1" ht="15">
      <c r="B66" s="130"/>
    </row>
    <row r="67" spans="2:18" ht="19.5">
      <c r="B67" s="101" t="s">
        <v>16</v>
      </c>
      <c r="K67" s="166" t="s">
        <v>20</v>
      </c>
      <c r="L67" s="103"/>
      <c r="P67" s="5"/>
      <c r="R67" s="4"/>
    </row>
    <row r="68" spans="2:18" ht="16.5">
      <c r="B68" s="114"/>
      <c r="C68" s="114"/>
      <c r="D68" s="143" t="s">
        <v>53</v>
      </c>
      <c r="E68" s="143" t="s">
        <v>22</v>
      </c>
      <c r="F68" s="144" t="s">
        <v>54</v>
      </c>
      <c r="K68" s="175"/>
      <c r="L68" s="175"/>
      <c r="M68" s="143" t="s">
        <v>53</v>
      </c>
      <c r="N68" s="143" t="s">
        <v>22</v>
      </c>
      <c r="O68" s="144" t="s">
        <v>54</v>
      </c>
      <c r="P68" s="5"/>
      <c r="R68" s="4"/>
    </row>
    <row r="69" spans="2:18" ht="20.25" thickBot="1">
      <c r="B69" s="116" t="s">
        <v>17</v>
      </c>
      <c r="C69" s="164"/>
      <c r="D69" s="315"/>
      <c r="E69" s="319">
        <v>110</v>
      </c>
      <c r="F69" s="329">
        <f>IF(COUNTA(C69:D69)=1,D69,E69)</f>
        <v>110</v>
      </c>
      <c r="G69" s="4"/>
      <c r="K69" s="171" t="s">
        <v>17</v>
      </c>
      <c r="L69" s="172"/>
      <c r="M69" s="317"/>
      <c r="N69" s="331">
        <v>110</v>
      </c>
      <c r="O69" s="330">
        <f>IF(COUNTA(L69:M69)=1,M69,N69)</f>
        <v>110</v>
      </c>
      <c r="P69" s="5"/>
      <c r="R69" s="4"/>
    </row>
    <row r="70" spans="2:18" ht="21" thickBot="1" thickTop="1">
      <c r="B70" s="119" t="s">
        <v>210</v>
      </c>
      <c r="C70" s="145"/>
      <c r="D70" s="316"/>
      <c r="E70" s="321">
        <f>47*6/6</f>
        <v>47</v>
      </c>
      <c r="F70" s="278">
        <f>IF(COUNTA(C70:D70)=1,D70,E70)</f>
        <v>47</v>
      </c>
      <c r="G70" s="4"/>
      <c r="K70" s="173" t="s">
        <v>210</v>
      </c>
      <c r="L70" s="174"/>
      <c r="M70" s="316"/>
      <c r="N70" s="321">
        <f>320/6</f>
        <v>53.333333333333336</v>
      </c>
      <c r="O70" s="278">
        <f>IF(COUNTA(L70:M70)=1,M70,N70)</f>
        <v>53.333333333333336</v>
      </c>
      <c r="P70" s="5"/>
      <c r="R70" s="4"/>
    </row>
    <row r="71" spans="2:18" ht="21" thickBot="1" thickTop="1">
      <c r="B71" s="119" t="s">
        <v>211</v>
      </c>
      <c r="C71" s="145"/>
      <c r="D71" s="316"/>
      <c r="E71" s="321">
        <f>75*6/6</f>
        <v>75</v>
      </c>
      <c r="F71" s="278">
        <f>IF(COUNTA(C71:D71)=1,D71,E71)</f>
        <v>75</v>
      </c>
      <c r="G71" s="4"/>
      <c r="K71" s="173" t="s">
        <v>211</v>
      </c>
      <c r="L71" s="174"/>
      <c r="M71" s="316"/>
      <c r="N71" s="321">
        <f>455/6</f>
        <v>75.83333333333333</v>
      </c>
      <c r="O71" s="278">
        <f>IF(COUNTA(L71:M71)=1,M71,N71)</f>
        <v>75.83333333333333</v>
      </c>
      <c r="P71" s="5"/>
      <c r="R71" s="4"/>
    </row>
    <row r="72" spans="2:18" ht="21" thickBot="1" thickTop="1">
      <c r="B72" s="119" t="s">
        <v>18</v>
      </c>
      <c r="C72" s="145"/>
      <c r="D72" s="316"/>
      <c r="E72" s="322">
        <v>0.5</v>
      </c>
      <c r="F72" s="328">
        <f>IF(COUNTA(C72:D72)=1,D72,E72)</f>
        <v>0.5</v>
      </c>
      <c r="G72" s="4"/>
      <c r="K72" s="173" t="s">
        <v>18</v>
      </c>
      <c r="L72" s="174"/>
      <c r="M72" s="316"/>
      <c r="N72" s="324">
        <v>0.5</v>
      </c>
      <c r="O72" s="326">
        <f>IF(COUNTA(L72:M72)=1,M72,N72)</f>
        <v>0.5</v>
      </c>
      <c r="P72" s="5"/>
      <c r="R72" s="4"/>
    </row>
    <row r="73" spans="2:18" ht="21" thickBot="1" thickTop="1">
      <c r="B73" s="119" t="s">
        <v>19</v>
      </c>
      <c r="C73" s="145"/>
      <c r="D73" s="316"/>
      <c r="E73" s="322">
        <v>0.3</v>
      </c>
      <c r="F73" s="328">
        <f>IF(COUNTA(C73:D73)=1,D73,E73)</f>
        <v>0.3</v>
      </c>
      <c r="G73" s="4"/>
      <c r="K73" s="173" t="s">
        <v>19</v>
      </c>
      <c r="L73" s="174"/>
      <c r="M73" s="316"/>
      <c r="N73" s="324">
        <v>0.3</v>
      </c>
      <c r="O73" s="326">
        <f>IF(COUNTA(L73:M73)=1,M73,N73)</f>
        <v>0.3</v>
      </c>
      <c r="P73" s="5"/>
      <c r="R73" s="4"/>
    </row>
    <row r="74" spans="2:18" ht="13.5" thickTop="1">
      <c r="B74" s="17"/>
      <c r="D74" s="4"/>
      <c r="E74" s="4"/>
      <c r="F74" s="4"/>
      <c r="G74" s="4"/>
      <c r="K74" s="17"/>
      <c r="M74" s="4"/>
      <c r="N74" s="4"/>
      <c r="P74" s="5"/>
      <c r="R74" s="4"/>
    </row>
    <row r="75" spans="4:32" ht="16.5">
      <c r="D75" s="150" t="s">
        <v>192</v>
      </c>
      <c r="E75" s="150" t="s">
        <v>195</v>
      </c>
      <c r="F75" s="151" t="s">
        <v>193</v>
      </c>
      <c r="G75" s="151" t="s">
        <v>202</v>
      </c>
      <c r="H75" s="152" t="s">
        <v>194</v>
      </c>
      <c r="I75" s="153" t="s">
        <v>197</v>
      </c>
      <c r="M75" s="150" t="s">
        <v>192</v>
      </c>
      <c r="N75" s="150" t="s">
        <v>195</v>
      </c>
      <c r="O75" s="151" t="s">
        <v>193</v>
      </c>
      <c r="P75" s="151" t="s">
        <v>202</v>
      </c>
      <c r="Q75" s="152" t="s">
        <v>194</v>
      </c>
      <c r="R75" s="153" t="s">
        <v>197</v>
      </c>
      <c r="AC75" s="5" t="s">
        <v>59</v>
      </c>
      <c r="AD75" s="5" t="s">
        <v>60</v>
      </c>
      <c r="AE75" s="5" t="s">
        <v>37</v>
      </c>
      <c r="AF75" s="5" t="s">
        <v>61</v>
      </c>
    </row>
    <row r="76" spans="2:33" s="106" customFormat="1" ht="19.5">
      <c r="B76" s="158" t="s">
        <v>26</v>
      </c>
      <c r="D76" s="147">
        <f>((AC76+AD76)*F71+(AE76+AF76)*F70)/F69*2.5</f>
        <v>5.368844697098892</v>
      </c>
      <c r="E76" s="147">
        <f>D76*(D20/E20)</f>
        <v>2.660243476334858</v>
      </c>
      <c r="F76" s="148">
        <f>((AC77+AD77)*F71+(AE77+AF77)*F70)/F69*2.5</f>
        <v>5.928368506622702</v>
      </c>
      <c r="G76" s="148">
        <f>F76*(D22/E22)</f>
        <v>2.788767168916158</v>
      </c>
      <c r="H76" s="149">
        <f>((AC77+AD77)*F71+(AE77+AF77)*F70)/F69*2.5</f>
        <v>5.928368506622702</v>
      </c>
      <c r="I76" s="149">
        <f>H76/(E20/D20)</f>
        <v>2.9374855364272374</v>
      </c>
      <c r="K76" s="158" t="s">
        <v>26</v>
      </c>
      <c r="M76" s="147">
        <f>((AC78+AD78)*O71+(AE78+AF78)*O70)/O69*2.5</f>
        <v>5.741694775262905</v>
      </c>
      <c r="N76" s="147">
        <f>M76*(D20/E20)</f>
        <v>2.8449893656362804</v>
      </c>
      <c r="O76" s="148">
        <f>Q76</f>
        <v>5.741694775262905</v>
      </c>
      <c r="P76" s="148">
        <f>O76*(D22/E22)</f>
        <v>2.7009538737855134</v>
      </c>
      <c r="Q76" s="149">
        <f>((AC78+AD78)*O71+(AE79+AF78)*O70)/O69*2.5</f>
        <v>5.741694775262905</v>
      </c>
      <c r="R76" s="149">
        <f>Q76/(E20/D20)</f>
        <v>2.84498936563628</v>
      </c>
      <c r="AC76" s="167">
        <f>D8/(5.7917+30.63*LOG(D8))</f>
        <v>0.7974538284988528</v>
      </c>
      <c r="AD76" s="167">
        <f>D8/(-0.44591+31.695*LOG(D8))</f>
        <v>0.8661731557039253</v>
      </c>
      <c r="AE76" s="167">
        <f>F69/F58</f>
        <v>1.5714285714285714</v>
      </c>
      <c r="AF76" s="167">
        <f>F72+F73</f>
        <v>0.8</v>
      </c>
      <c r="AG76" s="168"/>
    </row>
    <row r="77" spans="1:32" s="130" customFormat="1" ht="15.75">
      <c r="A77" s="301"/>
      <c r="B77" s="301"/>
      <c r="C77" s="301"/>
      <c r="D77" s="394"/>
      <c r="E77" s="301"/>
      <c r="F77" s="301"/>
      <c r="G77" s="301"/>
      <c r="H77" s="301"/>
      <c r="I77" s="301"/>
      <c r="J77" s="301"/>
      <c r="K77" s="301"/>
      <c r="L77" s="301"/>
      <c r="M77" s="301"/>
      <c r="N77" s="301"/>
      <c r="O77" s="301"/>
      <c r="P77" s="301"/>
      <c r="Q77" s="301"/>
      <c r="R77" s="301"/>
      <c r="S77" s="301"/>
      <c r="AC77" s="338">
        <f>D8/(5.7917+30.63*LOG(D8))</f>
        <v>0.7974538284988528</v>
      </c>
      <c r="AD77" s="338">
        <f>D8/(-0.44591+31.695*LOG(D8))</f>
        <v>0.8661731557039253</v>
      </c>
      <c r="AE77" s="338">
        <f>F69/(F58*(1-F59))</f>
        <v>2.0952380952380953</v>
      </c>
      <c r="AF77" s="339">
        <f>F72+F73</f>
        <v>0.8</v>
      </c>
    </row>
    <row r="78" spans="2:32" ht="15.75">
      <c r="B78" s="40"/>
      <c r="O78" s="4"/>
      <c r="R78" s="4"/>
      <c r="AC78" s="41">
        <f>D8/(5.7917+30.63*LOG(D8))</f>
        <v>0.7974538284988528</v>
      </c>
      <c r="AD78" s="41">
        <f>D8/(-0.44591+31.695*LOG(D8))</f>
        <v>0.8661731557039253</v>
      </c>
      <c r="AE78" s="41">
        <f>O69/O58</f>
        <v>1.5714285714285714</v>
      </c>
      <c r="AF78" s="42">
        <f>O72+O73</f>
        <v>0.8</v>
      </c>
    </row>
    <row r="79" spans="2:31" ht="21">
      <c r="B79" s="169" t="s">
        <v>176</v>
      </c>
      <c r="K79" s="43"/>
      <c r="P79" s="5"/>
      <c r="R79" s="4"/>
      <c r="AE79" s="41">
        <f>O69/(O58*(1-O59))</f>
        <v>1.5714285714285714</v>
      </c>
    </row>
    <row r="80" spans="4:18" ht="16.5">
      <c r="D80" s="150" t="s">
        <v>192</v>
      </c>
      <c r="E80" s="150" t="s">
        <v>195</v>
      </c>
      <c r="F80" s="151" t="s">
        <v>193</v>
      </c>
      <c r="G80" s="151" t="s">
        <v>202</v>
      </c>
      <c r="H80" s="152" t="s">
        <v>194</v>
      </c>
      <c r="I80" s="153" t="s">
        <v>197</v>
      </c>
      <c r="M80" s="150" t="s">
        <v>192</v>
      </c>
      <c r="N80" s="150" t="s">
        <v>195</v>
      </c>
      <c r="O80" s="151" t="s">
        <v>193</v>
      </c>
      <c r="P80" s="151" t="s">
        <v>202</v>
      </c>
      <c r="Q80" s="152" t="s">
        <v>194</v>
      </c>
      <c r="R80" s="153" t="s">
        <v>197</v>
      </c>
    </row>
    <row r="81" spans="2:18" ht="19.5">
      <c r="B81" s="102" t="s">
        <v>94</v>
      </c>
      <c r="C81" s="135"/>
      <c r="D81" s="147">
        <f>D38+D52+D64+D76</f>
        <v>21.273734146578775</v>
      </c>
      <c r="E81" s="147">
        <f>E38+E52+E64+E76</f>
        <v>10.541059701596332</v>
      </c>
      <c r="F81" s="247">
        <f>F38+F52+F64+F76+AG34</f>
        <v>25.59073342444573</v>
      </c>
      <c r="G81" s="247">
        <f>G38+G52+G64+G76+((AG34*D22/E22))</f>
        <v>12.038151326600989</v>
      </c>
      <c r="H81" s="149">
        <f>H38+H52+H64+H76+AJ34</f>
        <v>25.739011870787323</v>
      </c>
      <c r="I81" s="149">
        <f>I38+I52+I64+I76+(AJ34*(D24/E24))</f>
        <v>12.066416001097398</v>
      </c>
      <c r="K81" s="166" t="s">
        <v>94</v>
      </c>
      <c r="L81" s="101"/>
      <c r="M81" s="147">
        <f>D38+D52+M64+M76</f>
        <v>20.162842057579596</v>
      </c>
      <c r="N81" s="147">
        <f>E38+E52+N64+N76</f>
        <v>9.990616617580704</v>
      </c>
      <c r="O81" s="247">
        <f>F38+F52+O64+O76+AG34</f>
        <v>22.031912311581856</v>
      </c>
      <c r="P81" s="247">
        <f>G38+G52+P64+P76+(AG34*(D22/E22))</f>
        <v>10.364044282055204</v>
      </c>
      <c r="Q81" s="149">
        <f>H38+H52+Q64+Q76+AJ34</f>
        <v>22.151033446346545</v>
      </c>
      <c r="R81" s="149">
        <f>I38+I52+R64+R76+(AJ34*(D24/E24))</f>
        <v>10.406566692827866</v>
      </c>
    </row>
    <row r="82" spans="2:18" s="4" customFormat="1" ht="19.5">
      <c r="B82" s="104" t="s">
        <v>95</v>
      </c>
      <c r="C82" s="111"/>
      <c r="D82" s="147">
        <f>D38+D53+D64+D76</f>
        <v>24.27456264309771</v>
      </c>
      <c r="E82" s="147">
        <f>E38+E53+E64+E76</f>
        <v>12.027959562152532</v>
      </c>
      <c r="F82" s="148">
        <f>F38+F53+F64+F76+AG35</f>
        <v>28.99128943986233</v>
      </c>
      <c r="G82" s="148">
        <f>G38+G53+G64+G76+(AG35*(D22/E22))</f>
        <v>13.637808797498776</v>
      </c>
      <c r="H82" s="149">
        <f>H38+H53+H64+H76+AJ35</f>
        <v>28.277972554359728</v>
      </c>
      <c r="I82" s="149">
        <f>I38+I53+I64+I76+(AJ35*(D24/E24))</f>
        <v>13.236392922432046</v>
      </c>
      <c r="K82" s="142" t="s">
        <v>95</v>
      </c>
      <c r="L82" s="170"/>
      <c r="M82" s="147">
        <f>D38+D53+M64+M76</f>
        <v>23.16367055409853</v>
      </c>
      <c r="N82" s="147">
        <f>E38+E53+N64+N76</f>
        <v>11.477516478136902</v>
      </c>
      <c r="O82" s="148">
        <f>F38+F53+O64+O76+AG35</f>
        <v>25.432468326998457</v>
      </c>
      <c r="P82" s="148">
        <f>G38+G53+P64+P76+(AG35*(D22/E22))</f>
        <v>11.963701752952991</v>
      </c>
      <c r="Q82" s="149">
        <f>H38+H53+Q64+Q76+AJ35</f>
        <v>24.689994129918958</v>
      </c>
      <c r="R82" s="149">
        <f>I38+I53+R64+R76+(AJ35*(D24/E24))</f>
        <v>11.576543614162514</v>
      </c>
    </row>
    <row r="83" spans="1:19" s="4" customFormat="1" ht="18">
      <c r="A83" s="300"/>
      <c r="B83" s="301"/>
      <c r="C83" s="395"/>
      <c r="D83" s="396"/>
      <c r="E83" s="396"/>
      <c r="F83" s="397"/>
      <c r="G83" s="397"/>
      <c r="H83" s="300"/>
      <c r="I83" s="300"/>
      <c r="J83" s="395"/>
      <c r="K83" s="398"/>
      <c r="L83" s="398"/>
      <c r="M83" s="399"/>
      <c r="N83" s="399"/>
      <c r="O83" s="300"/>
      <c r="P83" s="300"/>
      <c r="Q83" s="300"/>
      <c r="R83" s="300"/>
      <c r="S83" s="300"/>
    </row>
    <row r="84" spans="6:7" ht="12.75">
      <c r="F84" s="10"/>
      <c r="G84" s="10"/>
    </row>
  </sheetData>
  <sheetProtection sheet="1" objects="1" scenarios="1"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68"/>
  <sheetViews>
    <sheetView zoomScalePageLayoutView="0" workbookViewId="0" topLeftCell="A26">
      <selection activeCell="E47" sqref="E47"/>
    </sheetView>
  </sheetViews>
  <sheetFormatPr defaultColWidth="9.140625" defaultRowHeight="12.75"/>
  <cols>
    <col min="1" max="1" width="0.71875" style="5" customWidth="1"/>
    <col min="2" max="2" width="9.140625" style="5" customWidth="1"/>
    <col min="3" max="3" width="35.28125" style="5" customWidth="1"/>
    <col min="4" max="4" width="16.8515625" style="5" bestFit="1" customWidth="1"/>
    <col min="5" max="5" width="19.140625" style="5" bestFit="1" customWidth="1"/>
    <col min="6" max="6" width="17.00390625" style="5" customWidth="1"/>
    <col min="7" max="7" width="19.28125" style="5" customWidth="1"/>
    <col min="8" max="8" width="15.57421875" style="5" bestFit="1" customWidth="1"/>
    <col min="9" max="9" width="17.8515625" style="4" bestFit="1" customWidth="1"/>
    <col min="10" max="10" width="14.7109375" style="5" customWidth="1"/>
    <col min="11" max="11" width="15.421875" style="5" customWidth="1"/>
    <col min="12" max="12" width="10.7109375" style="5" customWidth="1"/>
    <col min="13" max="13" width="14.57421875" style="5" customWidth="1"/>
    <col min="14" max="14" width="11.57421875" style="5" customWidth="1"/>
    <col min="15" max="15" width="8.140625" style="5" customWidth="1"/>
    <col min="16" max="16" width="9.140625" style="5" customWidth="1"/>
    <col min="17" max="17" width="0" style="5" hidden="1" customWidth="1"/>
    <col min="18" max="18" width="11.57421875" style="5" hidden="1" customWidth="1"/>
    <col min="19" max="19" width="9.421875" style="5" hidden="1" customWidth="1"/>
    <col min="20" max="21" width="13.00390625" style="5" hidden="1" customWidth="1"/>
    <col min="22" max="22" width="9.8515625" style="5" hidden="1" customWidth="1"/>
    <col min="23" max="23" width="14.57421875" style="5" hidden="1" customWidth="1"/>
    <col min="24" max="24" width="10.8515625" style="5" hidden="1" customWidth="1"/>
    <col min="25" max="25" width="10.00390625" style="5" hidden="1" customWidth="1"/>
    <col min="26" max="26" width="6.57421875" style="5" hidden="1" customWidth="1"/>
    <col min="27" max="27" width="12.7109375" style="5" hidden="1" customWidth="1"/>
    <col min="28" max="29" width="9.140625" style="5" hidden="1" customWidth="1"/>
    <col min="30" max="32" width="0" style="5" hidden="1" customWidth="1"/>
    <col min="33" max="16384" width="9.140625" style="5" customWidth="1"/>
  </cols>
  <sheetData>
    <row r="1" ht="20.25" hidden="1">
      <c r="B1" s="6" t="s">
        <v>28</v>
      </c>
    </row>
    <row r="2" ht="12.75" hidden="1"/>
    <row r="3" ht="15.75" hidden="1">
      <c r="B3" s="29" t="s">
        <v>0</v>
      </c>
    </row>
    <row r="4" spans="4:20" ht="12.75" hidden="1">
      <c r="D4" s="21" t="s">
        <v>1</v>
      </c>
      <c r="E4" s="21" t="s">
        <v>2</v>
      </c>
      <c r="F4" s="21" t="s">
        <v>3</v>
      </c>
      <c r="G4" s="21" t="s">
        <v>4</v>
      </c>
      <c r="H4" s="21" t="s">
        <v>5</v>
      </c>
      <c r="I4" s="32" t="s">
        <v>6</v>
      </c>
      <c r="J4" s="4"/>
      <c r="K4" s="4"/>
      <c r="S4" s="5" t="s">
        <v>43</v>
      </c>
      <c r="T4" s="16">
        <f>(E5+H5)*184</f>
        <v>55200</v>
      </c>
    </row>
    <row r="5" spans="2:20" ht="12.75" hidden="1">
      <c r="B5" s="8" t="s">
        <v>10</v>
      </c>
      <c r="D5" s="23">
        <f>Leimikkotiedot!D6</f>
        <v>20</v>
      </c>
      <c r="E5" s="23">
        <f>Leimikkotiedot!E6</f>
        <v>180</v>
      </c>
      <c r="F5" s="23">
        <f>Leimikkotiedot!F6</f>
        <v>20</v>
      </c>
      <c r="G5" s="23">
        <f>Leimikkotiedot!G6</f>
        <v>30</v>
      </c>
      <c r="H5" s="23">
        <f>Leimikkotiedot!H6</f>
        <v>120</v>
      </c>
      <c r="I5" s="23">
        <f>Leimikkotiedot!I6</f>
        <v>80</v>
      </c>
      <c r="J5" s="4"/>
      <c r="K5" s="4"/>
      <c r="S5" s="5" t="s">
        <v>42</v>
      </c>
      <c r="T5" s="5">
        <f>(D5+G5)*94</f>
        <v>4700</v>
      </c>
    </row>
    <row r="6" spans="2:20" ht="12.75" hidden="1">
      <c r="B6" s="8" t="s">
        <v>7</v>
      </c>
      <c r="D6" s="23">
        <f>Leimikkotiedot!D7</f>
        <v>2</v>
      </c>
      <c r="J6" s="4"/>
      <c r="K6" s="4"/>
      <c r="S6" s="5" t="s">
        <v>44</v>
      </c>
      <c r="T6" s="5">
        <f>(F5+I5)*85</f>
        <v>8500</v>
      </c>
    </row>
    <row r="7" spans="2:4" ht="12.75" hidden="1">
      <c r="B7" s="8" t="s">
        <v>8</v>
      </c>
      <c r="D7" s="23">
        <f>Leimikkotiedot!D8</f>
        <v>250</v>
      </c>
    </row>
    <row r="8" spans="2:24" ht="12.75" hidden="1">
      <c r="B8" s="9" t="s">
        <v>9</v>
      </c>
      <c r="D8" s="23">
        <f>Leimikkotiedot!D9</f>
        <v>45</v>
      </c>
      <c r="S8" s="17" t="s">
        <v>45</v>
      </c>
      <c r="T8" s="18">
        <f>(19.8*(1-D11)-2.441*D11)*(1/(1-D11))</f>
        <v>16.816555555555556</v>
      </c>
      <c r="U8" s="17" t="s">
        <v>48</v>
      </c>
      <c r="V8" s="18">
        <f>(19.7*(1-D15)-2.441*D15)*(1/(1-D15))</f>
        <v>18.072666666666667</v>
      </c>
      <c r="X8" s="18">
        <f>(19.7*(1-D13)-2.441*D13)*(1/(1-D13))</f>
        <v>17.702818181818184</v>
      </c>
    </row>
    <row r="9" spans="2:24" ht="12.75" hidden="1">
      <c r="B9" s="9"/>
      <c r="D9" s="32"/>
      <c r="S9" s="17"/>
      <c r="T9" s="18"/>
      <c r="U9" s="17"/>
      <c r="V9" s="18"/>
      <c r="X9" s="18"/>
    </row>
    <row r="10" spans="2:24" ht="12.75" hidden="1">
      <c r="B10" s="9"/>
      <c r="D10" s="32"/>
      <c r="S10" s="17"/>
      <c r="T10" s="18"/>
      <c r="U10" s="17"/>
      <c r="V10" s="18"/>
      <c r="X10" s="18"/>
    </row>
    <row r="11" spans="2:24" ht="12.75" hidden="1">
      <c r="B11" s="8" t="s">
        <v>118</v>
      </c>
      <c r="C11" s="69"/>
      <c r="D11" s="70">
        <f>Leimikkotiedot!F14</f>
        <v>0.55</v>
      </c>
      <c r="S11" s="17" t="s">
        <v>46</v>
      </c>
      <c r="T11" s="18">
        <f>(20.5*(1-D11)-2.441*D11)*(1/(1-D11))</f>
        <v>17.516555555555556</v>
      </c>
      <c r="U11" s="17" t="s">
        <v>49</v>
      </c>
      <c r="V11" s="18">
        <f>(20.4*(1-D15)-2.441*D15)*(1/(1-D15))</f>
        <v>18.772666666666666</v>
      </c>
      <c r="X11" s="18">
        <f>(20.4*(1-D13)-2.441*D13)*(1/(1-D13))</f>
        <v>18.402818181818184</v>
      </c>
    </row>
    <row r="12" spans="2:24" ht="12.75" hidden="1">
      <c r="B12" s="8" t="s">
        <v>119</v>
      </c>
      <c r="C12" s="69"/>
      <c r="D12" s="70">
        <f>Leimikkotiedot!F15</f>
        <v>0.7</v>
      </c>
      <c r="S12" s="17" t="s">
        <v>47</v>
      </c>
      <c r="T12" s="18">
        <f>(19.7*(1-D11)-2.441*D11)*(1/(1-D11))</f>
        <v>16.71655555555555</v>
      </c>
      <c r="U12" s="17" t="s">
        <v>50</v>
      </c>
      <c r="V12" s="18">
        <f>(19.7*(1-D15)-2.441*D15)*(1/(1-D15))</f>
        <v>18.072666666666667</v>
      </c>
      <c r="X12" s="18">
        <f>(19.7*(1-D13)-2.441*D13)*(1/(1-D13))</f>
        <v>17.702818181818184</v>
      </c>
    </row>
    <row r="13" spans="2:22" ht="12.75" hidden="1">
      <c r="B13" s="8" t="s">
        <v>120</v>
      </c>
      <c r="C13" s="68"/>
      <c r="D13" s="71">
        <f>Leimikkotiedot!F16</f>
        <v>0.45</v>
      </c>
      <c r="S13" s="17"/>
      <c r="T13" s="18"/>
      <c r="U13" s="17"/>
      <c r="V13" s="18"/>
    </row>
    <row r="14" spans="2:22" ht="12.75" hidden="1">
      <c r="B14" s="8" t="s">
        <v>121</v>
      </c>
      <c r="C14" s="68"/>
      <c r="D14" s="71">
        <f>(1-Leimikkotiedot!F17)*D12</f>
        <v>0.63</v>
      </c>
      <c r="S14" s="17"/>
      <c r="T14" s="18"/>
      <c r="U14" s="17"/>
      <c r="V14" s="18"/>
    </row>
    <row r="15" spans="2:22" ht="12.75" hidden="1">
      <c r="B15" s="8" t="s">
        <v>122</v>
      </c>
      <c r="C15" s="67"/>
      <c r="D15" s="72">
        <f>Leimikkotiedot!F18</f>
        <v>0.4</v>
      </c>
      <c r="S15" s="17"/>
      <c r="T15" s="18"/>
      <c r="U15" s="17"/>
      <c r="V15" s="18"/>
    </row>
    <row r="16" spans="2:22" ht="12.75" hidden="1">
      <c r="B16" s="8" t="s">
        <v>123</v>
      </c>
      <c r="C16" s="67"/>
      <c r="D16" s="72">
        <f>(1-Leimikkotiedot!F19)*D12</f>
        <v>0.5599999999999999</v>
      </c>
      <c r="S16" s="17"/>
      <c r="T16" s="18"/>
      <c r="U16" s="17"/>
      <c r="V16" s="18"/>
    </row>
    <row r="17" spans="2:4" ht="12.75" hidden="1">
      <c r="B17" s="9" t="s">
        <v>29</v>
      </c>
      <c r="C17" s="11"/>
      <c r="D17" s="27">
        <f>Leimikkotiedot!F20</f>
        <v>15</v>
      </c>
    </row>
    <row r="18" spans="2:4" ht="12.75" hidden="1">
      <c r="B18" s="9"/>
      <c r="D18" s="4"/>
    </row>
    <row r="19" spans="2:7" ht="12.75" hidden="1">
      <c r="B19" s="9"/>
      <c r="D19" s="62" t="s">
        <v>106</v>
      </c>
      <c r="E19" s="63" t="s">
        <v>107</v>
      </c>
      <c r="F19" s="63" t="s">
        <v>108</v>
      </c>
      <c r="G19" s="63" t="s">
        <v>109</v>
      </c>
    </row>
    <row r="20" spans="2:7" ht="16.5" hidden="1">
      <c r="B20" s="26" t="s">
        <v>21</v>
      </c>
      <c r="C20" s="11"/>
      <c r="D20" s="27">
        <f>((E5+H5)*184/425+(D5+G5)*94/395+(F5+I5)*85/500)*D12</f>
        <v>111.14676098287416</v>
      </c>
      <c r="E20" s="27">
        <f>(T4*T8+T5*T11+T6*T12)*0.278*D12*0.001</f>
        <v>224.31394103999997</v>
      </c>
      <c r="F20" s="27">
        <f>D20/D6</f>
        <v>55.57338049143708</v>
      </c>
      <c r="G20" s="27">
        <f>E20/D6</f>
        <v>112.15697051999999</v>
      </c>
    </row>
    <row r="21" spans="2:7" ht="16.5" hidden="1">
      <c r="B21" s="26"/>
      <c r="C21" s="11"/>
      <c r="D21" s="64" t="s">
        <v>110</v>
      </c>
      <c r="E21" s="64" t="s">
        <v>111</v>
      </c>
      <c r="F21" s="64" t="s">
        <v>112</v>
      </c>
      <c r="G21" s="64" t="s">
        <v>113</v>
      </c>
    </row>
    <row r="22" spans="2:7" ht="16.5" hidden="1">
      <c r="B22" s="26"/>
      <c r="C22" s="11"/>
      <c r="D22" s="27">
        <f>((E5+H5)*184/425+(D5+G5)*94/395+(F5+I5)*85/500)*(D14)</f>
        <v>100.03208488458675</v>
      </c>
      <c r="E22" s="27">
        <f>(T4*X8+T5*X11+T6*X12)*0.278*(D14)*0.001</f>
        <v>212.64846642327274</v>
      </c>
      <c r="F22" s="27">
        <f>D22/D6</f>
        <v>50.016042442293376</v>
      </c>
      <c r="G22" s="27">
        <f>E22/D6</f>
        <v>106.32423321163637</v>
      </c>
    </row>
    <row r="23" spans="2:11" ht="16.5" hidden="1">
      <c r="B23" s="26"/>
      <c r="C23" s="11"/>
      <c r="D23" s="66" t="s">
        <v>114</v>
      </c>
      <c r="E23" s="65" t="s">
        <v>115</v>
      </c>
      <c r="F23" s="65" t="s">
        <v>116</v>
      </c>
      <c r="G23" s="65" t="s">
        <v>117</v>
      </c>
      <c r="H23" s="44"/>
      <c r="I23" s="44"/>
      <c r="J23" s="44"/>
      <c r="K23" s="44"/>
    </row>
    <row r="24" spans="2:11" ht="16.5" hidden="1">
      <c r="B24" s="26"/>
      <c r="C24" s="11"/>
      <c r="D24" s="27">
        <f>((E5+H5)*184/425+(D5+G5)*94/395+(F5+I5)*85/500)*(D16)</f>
        <v>88.91740878629932</v>
      </c>
      <c r="E24" s="27">
        <f>(T4*V8+T5*V11+T6*V12)*0.278*(D16)*0.001</f>
        <v>192.959195072</v>
      </c>
      <c r="F24" s="27">
        <f>D24/D6</f>
        <v>44.45870439314966</v>
      </c>
      <c r="G24" s="27">
        <f>E24/D6</f>
        <v>96.479597536</v>
      </c>
      <c r="H24" s="44"/>
      <c r="I24" s="44"/>
      <c r="J24" s="44"/>
      <c r="K24" s="44"/>
    </row>
    <row r="25" spans="2:11" ht="16.5" hidden="1">
      <c r="B25" s="26"/>
      <c r="C25" s="11"/>
      <c r="D25" s="45"/>
      <c r="E25" s="45"/>
      <c r="F25" s="45"/>
      <c r="G25" s="45"/>
      <c r="H25" s="44"/>
      <c r="I25" s="44"/>
      <c r="J25" s="44"/>
      <c r="K25" s="44"/>
    </row>
    <row r="26" spans="1:11" ht="16.5">
      <c r="A26" s="98"/>
      <c r="B26" s="176"/>
      <c r="C26" s="177"/>
      <c r="D26" s="178"/>
      <c r="E26" s="178"/>
      <c r="F26" s="178"/>
      <c r="G26" s="178"/>
      <c r="H26" s="179"/>
      <c r="I26" s="44"/>
      <c r="J26" s="44"/>
      <c r="K26" s="44"/>
    </row>
    <row r="27" spans="2:11" s="4" customFormat="1" ht="29.25">
      <c r="B27" s="180" t="s">
        <v>88</v>
      </c>
      <c r="C27" s="39"/>
      <c r="D27" s="94"/>
      <c r="E27" s="45"/>
      <c r="F27" s="45"/>
      <c r="G27" s="45"/>
      <c r="H27" s="44"/>
      <c r="I27" s="44"/>
      <c r="J27" s="44"/>
      <c r="K27" s="44"/>
    </row>
    <row r="28" spans="1:11" ht="16.5">
      <c r="A28" s="98"/>
      <c r="B28" s="176"/>
      <c r="C28" s="177"/>
      <c r="D28" s="178"/>
      <c r="E28" s="178"/>
      <c r="F28" s="178"/>
      <c r="G28" s="178"/>
      <c r="H28" s="179"/>
      <c r="I28" s="44"/>
      <c r="J28" s="44"/>
      <c r="K28" s="44"/>
    </row>
    <row r="29" spans="2:11" ht="16.5">
      <c r="B29" s="26"/>
      <c r="C29" s="11"/>
      <c r="D29" s="45"/>
      <c r="E29" s="45"/>
      <c r="F29" s="45"/>
      <c r="G29" s="45"/>
      <c r="H29" s="44"/>
      <c r="I29" s="44"/>
      <c r="J29" s="44"/>
      <c r="K29" s="44"/>
    </row>
    <row r="30" ht="19.5">
      <c r="B30" s="101" t="s">
        <v>100</v>
      </c>
    </row>
    <row r="31" spans="2:6" ht="16.5">
      <c r="B31" s="114"/>
      <c r="C31" s="114"/>
      <c r="D31" s="143" t="s">
        <v>53</v>
      </c>
      <c r="E31" s="143" t="s">
        <v>22</v>
      </c>
      <c r="F31" s="144" t="s">
        <v>54</v>
      </c>
    </row>
    <row r="32" spans="2:24" ht="20.25" thickBot="1">
      <c r="B32" s="116" t="s">
        <v>198</v>
      </c>
      <c r="C32" s="124"/>
      <c r="D32" s="315"/>
      <c r="E32" s="323">
        <v>0</v>
      </c>
      <c r="F32" s="325">
        <f>IF(COUNTA(C32:D32)=1,D32,E32)</f>
        <v>0</v>
      </c>
      <c r="G32" s="4"/>
      <c r="X32" s="5" t="s">
        <v>143</v>
      </c>
    </row>
    <row r="33" spans="2:31" ht="21" thickBot="1" thickTop="1">
      <c r="B33" s="119" t="s">
        <v>199</v>
      </c>
      <c r="C33" s="125"/>
      <c r="D33" s="316"/>
      <c r="E33" s="324">
        <f>2/6</f>
        <v>0.3333333333333333</v>
      </c>
      <c r="F33" s="326">
        <f>IF(COUNTA(C33:D33)=1,D33,E33)</f>
        <v>0.3333333333333333</v>
      </c>
      <c r="G33" s="4"/>
      <c r="X33" s="82" t="s">
        <v>99</v>
      </c>
      <c r="Y33" s="81" t="s">
        <v>147</v>
      </c>
      <c r="Z33" s="81" t="s">
        <v>148</v>
      </c>
      <c r="AA33" s="81" t="s">
        <v>149</v>
      </c>
      <c r="AB33" s="82" t="s">
        <v>150</v>
      </c>
      <c r="AC33" s="81"/>
      <c r="AD33" s="81"/>
      <c r="AE33" s="82"/>
    </row>
    <row r="34" spans="2:31" ht="21" thickBot="1" thickTop="1">
      <c r="B34" s="119" t="s">
        <v>200</v>
      </c>
      <c r="C34" s="125"/>
      <c r="D34" s="316"/>
      <c r="E34" s="324">
        <f>3*6/6</f>
        <v>3</v>
      </c>
      <c r="F34" s="326">
        <f>IF(COUNTA(C34:D34)=1,D34,E34)</f>
        <v>3</v>
      </c>
      <c r="G34" s="4"/>
      <c r="W34" s="5" t="s">
        <v>145</v>
      </c>
      <c r="X34" s="84">
        <f>F37-F34</f>
        <v>0.4166666666666665</v>
      </c>
      <c r="Y34" s="91">
        <f>POWER(1+Leimikkotiedot!F23,Z34)</f>
        <v>1.0196128224222163</v>
      </c>
      <c r="Z34" s="92">
        <f>Leimikkotiedot!F21/12</f>
        <v>0.3333333333333333</v>
      </c>
      <c r="AA34" s="84">
        <f>X34*Y34</f>
        <v>0.4248386760092566</v>
      </c>
      <c r="AB34" s="84">
        <f>AA34-X34</f>
        <v>0.008172009342590103</v>
      </c>
      <c r="AC34" s="83"/>
      <c r="AD34" s="84"/>
      <c r="AE34" s="84"/>
    </row>
    <row r="35" spans="2:31" ht="13.5" thickTop="1">
      <c r="B35" s="21"/>
      <c r="D35" s="46"/>
      <c r="E35" s="32"/>
      <c r="F35" s="47"/>
      <c r="G35" s="31"/>
      <c r="W35" s="17"/>
      <c r="X35" s="87"/>
      <c r="Y35" s="88"/>
      <c r="Z35" s="89"/>
      <c r="AA35" s="90"/>
      <c r="AB35" s="90"/>
      <c r="AC35" s="83"/>
      <c r="AD35" s="84"/>
      <c r="AE35" s="84"/>
    </row>
    <row r="36" spans="2:31" ht="16.5">
      <c r="B36" s="21"/>
      <c r="D36" s="150" t="s">
        <v>192</v>
      </c>
      <c r="E36" s="150" t="s">
        <v>195</v>
      </c>
      <c r="F36" s="152" t="s">
        <v>194</v>
      </c>
      <c r="G36" s="153" t="s">
        <v>197</v>
      </c>
      <c r="I36" s="5"/>
      <c r="X36" s="61"/>
      <c r="Y36" s="61"/>
      <c r="Z36" s="61"/>
      <c r="AA36" s="61"/>
      <c r="AB36" s="61"/>
      <c r="AC36" s="61"/>
      <c r="AD36" s="61"/>
      <c r="AE36" s="61"/>
    </row>
    <row r="37" spans="2:22" s="4" customFormat="1" ht="19.5">
      <c r="B37" s="181" t="s">
        <v>174</v>
      </c>
      <c r="D37" s="147">
        <f>F32+F33+F34</f>
        <v>3.3333333333333335</v>
      </c>
      <c r="E37" s="147">
        <f>D37*(D20/E20)</f>
        <v>1.6516548260822588</v>
      </c>
      <c r="F37" s="149">
        <f>F32+((F33)*(D12/D16))+F34</f>
        <v>3.4166666666666665</v>
      </c>
      <c r="G37" s="149">
        <f>F37*(D24/E24)</f>
        <v>1.5744320791406885</v>
      </c>
      <c r="R37" s="4" t="s">
        <v>164</v>
      </c>
      <c r="S37" s="4" t="s">
        <v>163</v>
      </c>
      <c r="T37" s="4" t="s">
        <v>161</v>
      </c>
      <c r="U37" s="4" t="s">
        <v>161</v>
      </c>
      <c r="V37" s="4" t="s">
        <v>163</v>
      </c>
    </row>
    <row r="38" spans="1:22" s="128" customFormat="1" ht="15">
      <c r="A38" s="127"/>
      <c r="B38" s="127"/>
      <c r="C38" s="127"/>
      <c r="D38" s="127"/>
      <c r="E38" s="127"/>
      <c r="F38" s="113"/>
      <c r="G38" s="113"/>
      <c r="H38" s="127"/>
      <c r="I38" s="130"/>
      <c r="R38" s="182">
        <f>0.072+0.022*LN(S38)</f>
        <v>0.05675781957014864</v>
      </c>
      <c r="S38" s="183">
        <f>T38*0.06</f>
        <v>0.5001604244229337</v>
      </c>
      <c r="T38" s="184">
        <f>(D20/D6)/(100/D17)</f>
        <v>8.336007073715562</v>
      </c>
      <c r="U38" s="184">
        <f>(D24/D6)/(100/D17)</f>
        <v>6.668805658972449</v>
      </c>
      <c r="V38" s="182"/>
    </row>
    <row r="39" spans="6:22" s="128" customFormat="1" ht="15">
      <c r="F39" s="130"/>
      <c r="G39" s="130"/>
      <c r="I39" s="130"/>
      <c r="R39" s="182"/>
      <c r="S39" s="183"/>
      <c r="T39" s="184"/>
      <c r="U39" s="184"/>
      <c r="V39" s="182"/>
    </row>
    <row r="40" spans="2:24" ht="19.5">
      <c r="B40" s="101" t="s">
        <v>51</v>
      </c>
      <c r="S40" s="48" t="s">
        <v>37</v>
      </c>
      <c r="T40" s="13" t="s">
        <v>38</v>
      </c>
      <c r="U40" s="35" t="s">
        <v>38</v>
      </c>
      <c r="V40" s="5" t="s">
        <v>39</v>
      </c>
      <c r="W40" s="5" t="s">
        <v>40</v>
      </c>
      <c r="X40" s="5" t="s">
        <v>41</v>
      </c>
    </row>
    <row r="41" spans="2:24" ht="16.5">
      <c r="B41" s="114"/>
      <c r="C41" s="114"/>
      <c r="D41" s="143" t="s">
        <v>53</v>
      </c>
      <c r="E41" s="143" t="s">
        <v>22</v>
      </c>
      <c r="F41" s="144" t="s">
        <v>54</v>
      </c>
      <c r="S41" s="36">
        <f>0.64+(-2.49-1.78*LN(R38))</f>
        <v>3.256752079348131</v>
      </c>
      <c r="T41" s="36">
        <f>0.023/(S38)+0.135+3.07/T38</f>
        <v>0.5492670828845756</v>
      </c>
      <c r="U41" s="36">
        <f>0.023/(S38)+0.135+3.07/U38</f>
        <v>0.641337542183971</v>
      </c>
      <c r="V41" s="36">
        <f>+(0.26+0.017*(2*D7*0.47))/F42</f>
        <v>0.6078571428571429</v>
      </c>
      <c r="W41" s="36">
        <f>+(1.11+0.017*(2*D7*0.53))/F42</f>
        <v>0.8021428571428572</v>
      </c>
      <c r="X41" s="5">
        <f>0.31+0.27</f>
        <v>0.5800000000000001</v>
      </c>
    </row>
    <row r="42" spans="2:8" ht="20.25" thickBot="1">
      <c r="B42" s="163" t="s">
        <v>62</v>
      </c>
      <c r="C42" s="164"/>
      <c r="D42" s="315"/>
      <c r="E42" s="323">
        <v>7</v>
      </c>
      <c r="F42" s="325">
        <f>IF(COUNTA(C42:D42)=1,D42,E42)</f>
        <v>7</v>
      </c>
      <c r="G42" s="4"/>
      <c r="H42" s="34"/>
    </row>
    <row r="43" spans="2:8" ht="21" thickBot="1" thickTop="1">
      <c r="B43" s="238" t="s">
        <v>217</v>
      </c>
      <c r="C43" s="165"/>
      <c r="D43" s="317"/>
      <c r="E43" s="320">
        <v>1.8</v>
      </c>
      <c r="F43" s="327">
        <f>IF(COUNTA(C43:D43)=1,D43,E43)</f>
        <v>1.8</v>
      </c>
      <c r="G43" s="4"/>
      <c r="H43" s="34"/>
    </row>
    <row r="44" spans="2:9" ht="21" thickBot="1" thickTop="1">
      <c r="B44" s="122" t="s">
        <v>212</v>
      </c>
      <c r="C44" s="145"/>
      <c r="D44" s="316"/>
      <c r="E44" s="321">
        <f>100*6/6</f>
        <v>100</v>
      </c>
      <c r="F44" s="278">
        <f>IF(COUNTA(C44:D44)=1,D44,E44)</f>
        <v>100</v>
      </c>
      <c r="G44" s="4"/>
      <c r="I44" s="39"/>
    </row>
    <row r="45" spans="2:9" ht="21" thickBot="1" thickTop="1">
      <c r="B45" s="119" t="s">
        <v>152</v>
      </c>
      <c r="C45" s="145"/>
      <c r="D45" s="318"/>
      <c r="E45" s="280">
        <v>0.12</v>
      </c>
      <c r="F45" s="277">
        <f>IF(COUNTA(C45:D45)=1,D45,E45)</f>
        <v>0.12</v>
      </c>
      <c r="G45" s="4"/>
      <c r="I45" s="39"/>
    </row>
    <row r="46" spans="2:7" ht="21" thickBot="1" thickTop="1">
      <c r="B46" s="145" t="s">
        <v>213</v>
      </c>
      <c r="C46" s="145"/>
      <c r="D46" s="316"/>
      <c r="E46" s="321">
        <f>100*6/6</f>
        <v>100</v>
      </c>
      <c r="F46" s="278">
        <f>IF(COUNTA(C46:D46)=1,D46,E46)</f>
        <v>100</v>
      </c>
      <c r="G46" s="4"/>
    </row>
    <row r="47" spans="2:7" ht="13.5" thickTop="1">
      <c r="B47" s="17"/>
      <c r="D47" s="4"/>
      <c r="E47" s="4"/>
      <c r="F47" s="4"/>
      <c r="G47" s="4"/>
    </row>
    <row r="48" spans="4:9" ht="16.5">
      <c r="D48" s="150" t="s">
        <v>192</v>
      </c>
      <c r="E48" s="150" t="s">
        <v>195</v>
      </c>
      <c r="F48" s="152" t="s">
        <v>194</v>
      </c>
      <c r="G48" s="153" t="s">
        <v>197</v>
      </c>
      <c r="I48" s="5"/>
    </row>
    <row r="49" spans="2:7" s="4" customFormat="1" ht="19.5">
      <c r="B49" s="181" t="s">
        <v>52</v>
      </c>
      <c r="D49" s="147">
        <f>(((S41+T41+V41+W41+X41)*F43)/60)*F44+(F46/D20)</f>
        <v>18.287768815356706</v>
      </c>
      <c r="E49" s="147">
        <f>D49*(D20/E20)</f>
        <v>9.06152448664816</v>
      </c>
      <c r="F49" s="149">
        <f>(((S41+U41+V41+W41+X41)*F43)/60)*F44*(1+F45)+(F46/D24)</f>
        <v>20.9086202891711</v>
      </c>
      <c r="G49" s="149">
        <f>F49*(D24/E24)</f>
        <v>9.63488854063693</v>
      </c>
    </row>
    <row r="50" spans="1:15" ht="16.5">
      <c r="A50" s="98"/>
      <c r="B50" s="176"/>
      <c r="C50" s="98"/>
      <c r="D50" s="185"/>
      <c r="E50" s="185"/>
      <c r="F50" s="185"/>
      <c r="G50" s="185"/>
      <c r="H50" s="98"/>
      <c r="J50" s="4"/>
      <c r="K50" s="4"/>
      <c r="L50" s="4"/>
      <c r="M50" s="4"/>
      <c r="N50" s="4"/>
      <c r="O50" s="4"/>
    </row>
    <row r="51" spans="2:15" ht="16.5">
      <c r="B51" s="26"/>
      <c r="D51" s="46"/>
      <c r="E51" s="46"/>
      <c r="F51" s="46"/>
      <c r="G51" s="46"/>
      <c r="J51" s="4"/>
      <c r="K51" s="4"/>
      <c r="L51" s="4"/>
      <c r="M51" s="4"/>
      <c r="N51" s="4"/>
      <c r="O51" s="4"/>
    </row>
    <row r="52" spans="2:15" ht="19.5">
      <c r="B52" s="101" t="s">
        <v>16</v>
      </c>
      <c r="I52" s="57"/>
      <c r="J52" s="4"/>
      <c r="K52" s="4"/>
      <c r="L52" s="4"/>
      <c r="M52" s="4"/>
      <c r="N52" s="4"/>
      <c r="O52" s="4"/>
    </row>
    <row r="53" spans="2:15" ht="16.5">
      <c r="B53" s="114"/>
      <c r="C53" s="114"/>
      <c r="D53" s="143" t="s">
        <v>53</v>
      </c>
      <c r="E53" s="143" t="s">
        <v>22</v>
      </c>
      <c r="F53" s="144" t="s">
        <v>54</v>
      </c>
      <c r="J53" s="4"/>
      <c r="K53" s="4"/>
      <c r="L53" s="10"/>
      <c r="M53" s="4"/>
      <c r="N53" s="4"/>
      <c r="O53" s="4"/>
    </row>
    <row r="54" spans="2:15" ht="20.25" thickBot="1">
      <c r="B54" s="186" t="s">
        <v>17</v>
      </c>
      <c r="C54" s="117"/>
      <c r="D54" s="315"/>
      <c r="E54" s="337">
        <v>105</v>
      </c>
      <c r="F54" s="329">
        <f aca="true" t="shared" si="0" ref="F54:F59">IF(COUNTA(C54:D54)=1,D54,E54)</f>
        <v>105</v>
      </c>
      <c r="G54" s="4"/>
      <c r="I54" s="10"/>
      <c r="J54" s="4"/>
      <c r="K54" s="32"/>
      <c r="L54" s="32"/>
      <c r="M54" s="4"/>
      <c r="N54" s="4"/>
      <c r="O54" s="4"/>
    </row>
    <row r="55" spans="2:15" ht="21" thickBot="1" thickTop="1">
      <c r="B55" s="173" t="s">
        <v>210</v>
      </c>
      <c r="C55" s="120"/>
      <c r="D55" s="316"/>
      <c r="E55" s="321">
        <f>315/6</f>
        <v>52.5</v>
      </c>
      <c r="F55" s="278">
        <f t="shared" si="0"/>
        <v>52.5</v>
      </c>
      <c r="G55" s="4"/>
      <c r="I55" s="10"/>
      <c r="J55" s="4"/>
      <c r="K55" s="32"/>
      <c r="L55" s="32"/>
      <c r="M55" s="4"/>
      <c r="N55" s="4"/>
      <c r="O55" s="4"/>
    </row>
    <row r="56" spans="2:15" ht="21" thickBot="1" thickTop="1">
      <c r="B56" s="173" t="s">
        <v>211</v>
      </c>
      <c r="C56" s="120"/>
      <c r="D56" s="316"/>
      <c r="E56" s="321">
        <f>450/6</f>
        <v>75</v>
      </c>
      <c r="F56" s="278">
        <f t="shared" si="0"/>
        <v>75</v>
      </c>
      <c r="G56" s="4"/>
      <c r="I56" s="10"/>
      <c r="J56" s="4"/>
      <c r="K56" s="32"/>
      <c r="L56" s="32"/>
      <c r="M56" s="4"/>
      <c r="N56" s="4"/>
      <c r="O56" s="4"/>
    </row>
    <row r="57" spans="2:15" ht="21" thickBot="1" thickTop="1">
      <c r="B57" s="187" t="s">
        <v>63</v>
      </c>
      <c r="C57" s="120"/>
      <c r="D57" s="316"/>
      <c r="E57" s="324">
        <v>0.8</v>
      </c>
      <c r="F57" s="326">
        <f t="shared" si="0"/>
        <v>0.8</v>
      </c>
      <c r="G57" s="4"/>
      <c r="I57" s="10"/>
      <c r="J57" s="4"/>
      <c r="K57" s="32"/>
      <c r="L57" s="32"/>
      <c r="M57" s="4"/>
      <c r="N57" s="4"/>
      <c r="O57" s="4"/>
    </row>
    <row r="58" spans="2:15" ht="21" thickBot="1" thickTop="1">
      <c r="B58" s="173" t="s">
        <v>18</v>
      </c>
      <c r="C58" s="120"/>
      <c r="D58" s="316"/>
      <c r="E58" s="324">
        <v>0.5</v>
      </c>
      <c r="F58" s="326">
        <f t="shared" si="0"/>
        <v>0.5</v>
      </c>
      <c r="G58" s="4"/>
      <c r="I58" s="10"/>
      <c r="J58" s="4"/>
      <c r="K58" s="32"/>
      <c r="L58" s="32"/>
      <c r="M58" s="4"/>
      <c r="N58" s="4"/>
      <c r="O58" s="4"/>
    </row>
    <row r="59" spans="2:15" ht="21" thickBot="1" thickTop="1">
      <c r="B59" s="173" t="s">
        <v>19</v>
      </c>
      <c r="C59" s="120"/>
      <c r="D59" s="316"/>
      <c r="E59" s="324">
        <v>0.3</v>
      </c>
      <c r="F59" s="326">
        <f t="shared" si="0"/>
        <v>0.3</v>
      </c>
      <c r="G59" s="4"/>
      <c r="I59" s="10"/>
      <c r="J59" s="4"/>
      <c r="K59" s="32"/>
      <c r="L59" s="32"/>
      <c r="M59" s="4"/>
      <c r="N59" s="4"/>
      <c r="O59" s="4"/>
    </row>
    <row r="60" spans="2:15" ht="13.5" thickTop="1">
      <c r="B60" s="17"/>
      <c r="D60" s="4"/>
      <c r="E60" s="4"/>
      <c r="F60" s="4"/>
      <c r="G60" s="4"/>
      <c r="I60" s="58"/>
      <c r="J60" s="4"/>
      <c r="K60" s="4"/>
      <c r="L60" s="4"/>
      <c r="M60" s="4"/>
      <c r="N60" s="4"/>
      <c r="O60" s="4"/>
    </row>
    <row r="61" spans="4:25" ht="16.5">
      <c r="D61" s="150" t="s">
        <v>192</v>
      </c>
      <c r="E61" s="150" t="s">
        <v>195</v>
      </c>
      <c r="F61" s="152" t="s">
        <v>194</v>
      </c>
      <c r="G61" s="153" t="s">
        <v>197</v>
      </c>
      <c r="I61" s="5"/>
      <c r="J61" s="4"/>
      <c r="K61" s="10"/>
      <c r="L61" s="10"/>
      <c r="M61" s="32"/>
      <c r="N61" s="32"/>
      <c r="O61" s="4"/>
      <c r="V61" s="5" t="s">
        <v>59</v>
      </c>
      <c r="W61" s="5" t="s">
        <v>60</v>
      </c>
      <c r="X61" s="5" t="s">
        <v>37</v>
      </c>
      <c r="Y61" s="5" t="s">
        <v>61</v>
      </c>
    </row>
    <row r="62" spans="2:25" s="4" customFormat="1" ht="19.5">
      <c r="B62" s="158" t="s">
        <v>26</v>
      </c>
      <c r="D62" s="147">
        <f>((V62+W62)*F56+(X62+Y62)*F55)/F54*2.5</f>
        <v>4.9707624717906755</v>
      </c>
      <c r="E62" s="147">
        <f>D62*(D20/E20)</f>
        <v>2.462995147752494</v>
      </c>
      <c r="F62" s="149">
        <f>((V62+W62)*F56+(X62+Y62)*F55)/F54*2.5</f>
        <v>4.9707624717906755</v>
      </c>
      <c r="G62" s="149">
        <f>F62*(D20/E20)</f>
        <v>2.462995147752494</v>
      </c>
      <c r="K62" s="46"/>
      <c r="L62" s="46"/>
      <c r="M62" s="46"/>
      <c r="N62" s="46"/>
      <c r="V62" s="191">
        <f>D8/(5.7917+30.63*LOG(D8))</f>
        <v>0.7974538284988528</v>
      </c>
      <c r="W62" s="191">
        <f>D8/(-0.44591+31.695*LOG(D8))</f>
        <v>0.8661731557039253</v>
      </c>
      <c r="X62" s="191">
        <f>F57</f>
        <v>0.8</v>
      </c>
      <c r="Y62" s="191">
        <f>F58+F59</f>
        <v>0.8</v>
      </c>
    </row>
    <row r="63" spans="1:25" s="4" customFormat="1" ht="16.5">
      <c r="A63" s="99"/>
      <c r="B63" s="190"/>
      <c r="C63" s="99"/>
      <c r="D63" s="188"/>
      <c r="E63" s="188"/>
      <c r="F63" s="189"/>
      <c r="G63" s="189"/>
      <c r="H63" s="99"/>
      <c r="I63" s="340"/>
      <c r="K63" s="46"/>
      <c r="L63" s="46"/>
      <c r="M63" s="46"/>
      <c r="N63" s="46"/>
      <c r="V63" s="191"/>
      <c r="W63" s="191"/>
      <c r="X63" s="191"/>
      <c r="Y63" s="191"/>
    </row>
    <row r="64" spans="4:25" s="128" customFormat="1" ht="15.75">
      <c r="D64" s="130"/>
      <c r="E64" s="130"/>
      <c r="F64" s="130"/>
      <c r="G64" s="130"/>
      <c r="I64" s="130"/>
      <c r="J64" s="130"/>
      <c r="K64" s="130"/>
      <c r="L64" s="130"/>
      <c r="M64" s="130"/>
      <c r="N64" s="130"/>
      <c r="O64" s="130"/>
      <c r="V64" s="192"/>
      <c r="W64" s="192"/>
      <c r="X64" s="192"/>
      <c r="Y64" s="193"/>
    </row>
    <row r="65" spans="2:25" ht="21">
      <c r="B65" s="169" t="s">
        <v>176</v>
      </c>
      <c r="J65" s="4"/>
      <c r="K65" s="4"/>
      <c r="L65" s="4"/>
      <c r="M65" s="4"/>
      <c r="N65" s="4"/>
      <c r="O65" s="4"/>
      <c r="V65" s="41"/>
      <c r="W65" s="41"/>
      <c r="X65" s="41"/>
      <c r="Y65" s="42"/>
    </row>
    <row r="66" spans="4:9" ht="16.5">
      <c r="D66" s="150" t="s">
        <v>192</v>
      </c>
      <c r="E66" s="150" t="s">
        <v>195</v>
      </c>
      <c r="F66" s="152" t="s">
        <v>194</v>
      </c>
      <c r="G66" s="153" t="s">
        <v>197</v>
      </c>
      <c r="I66" s="5"/>
    </row>
    <row r="67" spans="4:7" s="4" customFormat="1" ht="19.5">
      <c r="D67" s="147">
        <f>D37+D49+D62</f>
        <v>26.591864620480713</v>
      </c>
      <c r="E67" s="147">
        <f>E37+E49+E62</f>
        <v>13.176174460482914</v>
      </c>
      <c r="F67" s="149">
        <f>F37+F49+F62+AB34</f>
        <v>29.304221436971034</v>
      </c>
      <c r="G67" s="149">
        <f>G37+G49+G62+(AB34*(D24/E24))</f>
        <v>13.67608150616231</v>
      </c>
    </row>
    <row r="68" spans="1:8" s="130" customFormat="1" ht="15">
      <c r="A68" s="113"/>
      <c r="B68" s="113"/>
      <c r="C68" s="113"/>
      <c r="D68" s="113"/>
      <c r="E68" s="113"/>
      <c r="F68" s="113"/>
      <c r="G68" s="113"/>
      <c r="H68" s="113"/>
    </row>
  </sheetData>
  <sheetProtection sheet="1" objects="1" scenarios="1"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81"/>
  <sheetViews>
    <sheetView zoomScalePageLayoutView="0" workbookViewId="0" topLeftCell="A38">
      <selection activeCell="E72" sqref="E72"/>
    </sheetView>
  </sheetViews>
  <sheetFormatPr defaultColWidth="9.140625" defaultRowHeight="12.75"/>
  <cols>
    <col min="1" max="1" width="0.71875" style="5" customWidth="1"/>
    <col min="2" max="2" width="9.140625" style="5" customWidth="1"/>
    <col min="3" max="3" width="35.421875" style="5" customWidth="1"/>
    <col min="4" max="4" width="16.8515625" style="5" bestFit="1" customWidth="1"/>
    <col min="5" max="5" width="19.140625" style="5" bestFit="1" customWidth="1"/>
    <col min="6" max="6" width="21.8515625" style="5" bestFit="1" customWidth="1"/>
    <col min="7" max="7" width="24.8515625" style="5" bestFit="1" customWidth="1"/>
    <col min="8" max="8" width="17.00390625" style="5" bestFit="1" customWidth="1"/>
    <col min="9" max="9" width="19.28125" style="4" bestFit="1" customWidth="1"/>
    <col min="10" max="10" width="20.57421875" style="5" customWidth="1"/>
    <col min="11" max="11" width="15.00390625" style="5" customWidth="1"/>
    <col min="12" max="20" width="9.140625" style="5" customWidth="1"/>
    <col min="21" max="22" width="9.140625" style="5" hidden="1" customWidth="1"/>
    <col min="23" max="23" width="16.7109375" style="5" hidden="1" customWidth="1"/>
    <col min="24" max="25" width="20.8515625" style="5" hidden="1" customWidth="1"/>
    <col min="26" max="26" width="17.7109375" style="5" hidden="1" customWidth="1"/>
    <col min="27" max="27" width="21.8515625" style="5" hidden="1" customWidth="1"/>
    <col min="28" max="28" width="18.140625" style="5" hidden="1" customWidth="1"/>
    <col min="29" max="34" width="9.140625" style="5" hidden="1" customWidth="1"/>
    <col min="35" max="37" width="0" style="5" hidden="1" customWidth="1"/>
    <col min="38" max="16384" width="9.140625" style="5" customWidth="1"/>
  </cols>
  <sheetData>
    <row r="1" ht="20.25" hidden="1">
      <c r="B1" s="6" t="s">
        <v>30</v>
      </c>
    </row>
    <row r="2" ht="12.75" hidden="1"/>
    <row r="3" ht="15.75" hidden="1">
      <c r="B3" s="29" t="s">
        <v>0</v>
      </c>
    </row>
    <row r="4" spans="4:25" ht="12.75" hidden="1">
      <c r="D4" s="21" t="s">
        <v>1</v>
      </c>
      <c r="E4" s="21" t="s">
        <v>2</v>
      </c>
      <c r="F4" s="21" t="s">
        <v>3</v>
      </c>
      <c r="G4" s="21" t="s">
        <v>4</v>
      </c>
      <c r="H4" s="21" t="s">
        <v>5</v>
      </c>
      <c r="I4" s="32" t="s">
        <v>6</v>
      </c>
      <c r="J4" s="4"/>
      <c r="K4" s="4"/>
      <c r="X4" s="5" t="s">
        <v>43</v>
      </c>
      <c r="Y4" s="16">
        <f>(E5+H5)*184</f>
        <v>55200</v>
      </c>
    </row>
    <row r="5" spans="2:25" ht="12.75" hidden="1">
      <c r="B5" s="8" t="s">
        <v>10</v>
      </c>
      <c r="D5" s="75">
        <f>Leimikkotiedot!D6</f>
        <v>20</v>
      </c>
      <c r="E5" s="75">
        <f>Leimikkotiedot!E6</f>
        <v>180</v>
      </c>
      <c r="F5" s="75">
        <f>Leimikkotiedot!F6</f>
        <v>20</v>
      </c>
      <c r="G5" s="75">
        <f>Leimikkotiedot!G6</f>
        <v>30</v>
      </c>
      <c r="H5" s="75">
        <f>Leimikkotiedot!H6</f>
        <v>120</v>
      </c>
      <c r="I5" s="75">
        <f>Leimikkotiedot!I6</f>
        <v>80</v>
      </c>
      <c r="J5" s="4"/>
      <c r="K5" s="4"/>
      <c r="X5" s="5" t="s">
        <v>42</v>
      </c>
      <c r="Y5" s="5">
        <f>(D5+G5)*94</f>
        <v>4700</v>
      </c>
    </row>
    <row r="6" spans="2:25" ht="12.75" hidden="1">
      <c r="B6" s="8" t="s">
        <v>7</v>
      </c>
      <c r="D6" s="75">
        <f>Leimikkotiedot!D7</f>
        <v>2</v>
      </c>
      <c r="J6" s="4"/>
      <c r="K6" s="4"/>
      <c r="X6" s="5" t="s">
        <v>44</v>
      </c>
      <c r="Y6" s="5">
        <f>(F5+I5)*85</f>
        <v>8500</v>
      </c>
    </row>
    <row r="7" spans="2:4" ht="12.75" hidden="1">
      <c r="B7" s="8" t="s">
        <v>8</v>
      </c>
      <c r="D7" s="75">
        <f>Leimikkotiedot!D8</f>
        <v>250</v>
      </c>
    </row>
    <row r="8" spans="2:29" ht="12.75" hidden="1">
      <c r="B8" s="9" t="s">
        <v>9</v>
      </c>
      <c r="D8" s="75">
        <f>Leimikkotiedot!D9</f>
        <v>45</v>
      </c>
      <c r="X8" s="17" t="s">
        <v>45</v>
      </c>
      <c r="Y8" s="18">
        <f>(19.8*(1-D11)-2.441*D11)*(1/(1-D11))</f>
        <v>16.816555555555556</v>
      </c>
      <c r="Z8" s="17" t="s">
        <v>48</v>
      </c>
      <c r="AA8" s="18">
        <f>(19.7*(1-D15)-2.441*D15)*(1/(1-D15))</f>
        <v>18.072666666666667</v>
      </c>
      <c r="AC8" s="18">
        <f>(19.7*(1-D13)-2.441*D13)*(1/(1-D13))</f>
        <v>17.702818181818184</v>
      </c>
    </row>
    <row r="9" spans="2:29" ht="12.75" hidden="1">
      <c r="B9" s="9"/>
      <c r="D9" s="32"/>
      <c r="X9" s="17"/>
      <c r="Y9" s="18"/>
      <c r="Z9" s="17"/>
      <c r="AA9" s="18"/>
      <c r="AC9" s="18"/>
    </row>
    <row r="10" spans="2:29" ht="12.75" hidden="1">
      <c r="B10" s="9"/>
      <c r="D10" s="32"/>
      <c r="X10" s="17"/>
      <c r="Y10" s="18"/>
      <c r="Z10" s="17"/>
      <c r="AA10" s="18"/>
      <c r="AC10" s="18"/>
    </row>
    <row r="11" spans="2:29" ht="12.75" hidden="1">
      <c r="B11" s="8" t="s">
        <v>118</v>
      </c>
      <c r="C11" s="69"/>
      <c r="D11" s="70">
        <f>Leimikkotiedot!F14</f>
        <v>0.55</v>
      </c>
      <c r="X11" s="17" t="s">
        <v>46</v>
      </c>
      <c r="Y11" s="18">
        <f>(20.5*(1-D11)-2.441*D11)*(1/(1-D11))</f>
        <v>17.516555555555556</v>
      </c>
      <c r="Z11" s="17" t="s">
        <v>49</v>
      </c>
      <c r="AA11" s="18">
        <f>(20.4*(1-D15)-2.441*D15)*(1/(1-D15))</f>
        <v>18.772666666666666</v>
      </c>
      <c r="AC11" s="18">
        <f>(20.4*(1-D13)-2.441*D13)*(1/(1-D13))</f>
        <v>18.402818181818184</v>
      </c>
    </row>
    <row r="12" spans="2:29" ht="12.75" hidden="1">
      <c r="B12" s="8" t="s">
        <v>119</v>
      </c>
      <c r="C12" s="69"/>
      <c r="D12" s="70">
        <f>Leimikkotiedot!F15</f>
        <v>0.7</v>
      </c>
      <c r="X12" s="17" t="s">
        <v>47</v>
      </c>
      <c r="Y12" s="18">
        <f>(19.7*(1-D11)-2.441*D11)*(1/(1-D11))</f>
        <v>16.71655555555555</v>
      </c>
      <c r="Z12" s="17" t="s">
        <v>50</v>
      </c>
      <c r="AA12" s="18">
        <f>(19.7*(1-D15)-2.441*D15)*(1/(1-D15))</f>
        <v>18.072666666666667</v>
      </c>
      <c r="AC12" s="18">
        <f>(19.7*(1-D13)-2.441*D13)*(1/(1-D13))</f>
        <v>17.702818181818184</v>
      </c>
    </row>
    <row r="13" spans="2:27" ht="12.75" hidden="1">
      <c r="B13" s="8" t="s">
        <v>120</v>
      </c>
      <c r="C13" s="68"/>
      <c r="D13" s="71">
        <f>Leimikkotiedot!F16</f>
        <v>0.45</v>
      </c>
      <c r="X13" s="17"/>
      <c r="Y13" s="18"/>
      <c r="Z13" s="17"/>
      <c r="AA13" s="18"/>
    </row>
    <row r="14" spans="2:27" ht="12.75" hidden="1">
      <c r="B14" s="8" t="s">
        <v>121</v>
      </c>
      <c r="C14" s="68"/>
      <c r="D14" s="71">
        <f>(1-Leimikkotiedot!F17)*D12</f>
        <v>0.63</v>
      </c>
      <c r="X14" s="17"/>
      <c r="Y14" s="18"/>
      <c r="Z14" s="17"/>
      <c r="AA14" s="18"/>
    </row>
    <row r="15" spans="2:27" ht="12.75" hidden="1">
      <c r="B15" s="8" t="s">
        <v>122</v>
      </c>
      <c r="C15" s="67"/>
      <c r="D15" s="73">
        <f>Leimikkotiedot!F18</f>
        <v>0.4</v>
      </c>
      <c r="X15" s="17"/>
      <c r="Y15" s="18"/>
      <c r="Z15" s="17"/>
      <c r="AA15" s="18"/>
    </row>
    <row r="16" spans="2:27" ht="12.75" hidden="1">
      <c r="B16" s="8" t="s">
        <v>123</v>
      </c>
      <c r="C16" s="67"/>
      <c r="D16" s="73">
        <f>(1-Leimikkotiedot!F19)*D12</f>
        <v>0.5599999999999999</v>
      </c>
      <c r="X16" s="17"/>
      <c r="Y16" s="18"/>
      <c r="Z16" s="17"/>
      <c r="AA16" s="18"/>
    </row>
    <row r="17" spans="2:4" ht="12.75" hidden="1">
      <c r="B17" s="9" t="s">
        <v>29</v>
      </c>
      <c r="C17" s="11"/>
      <c r="D17" s="27">
        <f>Leimikkotiedot!F20</f>
        <v>15</v>
      </c>
    </row>
    <row r="18" spans="2:4" ht="12.75" hidden="1">
      <c r="B18" s="9"/>
      <c r="D18" s="4"/>
    </row>
    <row r="19" spans="2:7" ht="12.75" hidden="1">
      <c r="B19" s="9"/>
      <c r="D19" s="62" t="s">
        <v>106</v>
      </c>
      <c r="E19" s="63" t="s">
        <v>107</v>
      </c>
      <c r="F19" s="63" t="s">
        <v>108</v>
      </c>
      <c r="G19" s="63" t="s">
        <v>109</v>
      </c>
    </row>
    <row r="20" spans="2:7" ht="16.5" hidden="1">
      <c r="B20" s="26" t="s">
        <v>21</v>
      </c>
      <c r="C20" s="11"/>
      <c r="D20" s="27">
        <f>((E5+H5)*184/425+(D5+G5)*94/395+(F5+I5)*85/500)*D12</f>
        <v>111.14676098287416</v>
      </c>
      <c r="E20" s="27">
        <f>(Y4*Y8+Y5*Y11+Y6*Y12)*0.278*D12*0.001</f>
        <v>224.31394103999997</v>
      </c>
      <c r="F20" s="27">
        <f>D20/D6</f>
        <v>55.57338049143708</v>
      </c>
      <c r="G20" s="27">
        <f>E20/D6</f>
        <v>112.15697051999999</v>
      </c>
    </row>
    <row r="21" spans="2:7" ht="16.5" hidden="1">
      <c r="B21" s="26"/>
      <c r="C21" s="11"/>
      <c r="D21" s="64" t="s">
        <v>110</v>
      </c>
      <c r="E21" s="64" t="s">
        <v>111</v>
      </c>
      <c r="F21" s="64" t="s">
        <v>112</v>
      </c>
      <c r="G21" s="64" t="s">
        <v>113</v>
      </c>
    </row>
    <row r="22" spans="2:7" ht="16.5" hidden="1">
      <c r="B22" s="26"/>
      <c r="C22" s="11"/>
      <c r="D22" s="74">
        <f>((E5+H5)*184/425+(D5+G5)*94/395+(F5+I5)*85/500)*(D14)</f>
        <v>100.03208488458675</v>
      </c>
      <c r="E22" s="27">
        <f>(Y4*AC8+Y5*AC11+Y6*AC12)*0.278*(D14)*0.001</f>
        <v>212.64846642327274</v>
      </c>
      <c r="F22" s="74">
        <f>D22/D6</f>
        <v>50.016042442293376</v>
      </c>
      <c r="G22" s="74">
        <f>E22/D6</f>
        <v>106.32423321163637</v>
      </c>
    </row>
    <row r="23" spans="2:11" ht="16.5" hidden="1">
      <c r="B23" s="26"/>
      <c r="C23" s="11"/>
      <c r="D23" s="66" t="s">
        <v>114</v>
      </c>
      <c r="E23" s="65" t="s">
        <v>115</v>
      </c>
      <c r="F23" s="65" t="s">
        <v>116</v>
      </c>
      <c r="G23" s="65" t="s">
        <v>117</v>
      </c>
      <c r="H23" s="44"/>
      <c r="I23" s="44"/>
      <c r="J23" s="44"/>
      <c r="K23" s="44"/>
    </row>
    <row r="24" spans="2:11" ht="16.5" hidden="1">
      <c r="B24" s="26"/>
      <c r="C24" s="11"/>
      <c r="D24" s="27">
        <f>((E5+H5)*184/425+(D5+G5)*94/395+(F5+I5)*85/500)*(D16)</f>
        <v>88.91740878629932</v>
      </c>
      <c r="E24" s="27">
        <f>(Y4*AA8+Y5*AA11+Y6*AA12)*0.278*(D16)*0.001</f>
        <v>192.959195072</v>
      </c>
      <c r="F24" s="27">
        <f>D24/D6</f>
        <v>44.45870439314966</v>
      </c>
      <c r="G24" s="27">
        <f>E24/D6</f>
        <v>96.479597536</v>
      </c>
      <c r="H24" s="44"/>
      <c r="I24" s="44"/>
      <c r="J24" s="44"/>
      <c r="K24" s="44"/>
    </row>
    <row r="25" spans="2:11" ht="16.5" hidden="1">
      <c r="B25" s="26"/>
      <c r="C25" s="11"/>
      <c r="D25" s="44"/>
      <c r="E25" s="44"/>
      <c r="F25" s="44"/>
      <c r="G25" s="44"/>
      <c r="H25" s="44"/>
      <c r="I25" s="44"/>
      <c r="J25" s="44"/>
      <c r="K25" s="44"/>
    </row>
    <row r="26" spans="1:11" s="128" customFormat="1" ht="15.75">
      <c r="A26" s="203"/>
      <c r="B26" s="202"/>
      <c r="C26" s="203"/>
      <c r="D26" s="204"/>
      <c r="E26" s="204"/>
      <c r="F26" s="204"/>
      <c r="G26" s="204"/>
      <c r="H26" s="204"/>
      <c r="I26" s="204"/>
      <c r="J26" s="204"/>
      <c r="K26" s="344"/>
    </row>
    <row r="27" spans="1:11" s="4" customFormat="1" ht="29.25">
      <c r="A27" s="360"/>
      <c r="B27" s="388" t="s">
        <v>177</v>
      </c>
      <c r="C27" s="361"/>
      <c r="D27" s="362"/>
      <c r="E27" s="45"/>
      <c r="F27" s="94"/>
      <c r="G27" s="45"/>
      <c r="H27" s="44"/>
      <c r="I27" s="44"/>
      <c r="J27" s="44"/>
      <c r="K27" s="44"/>
    </row>
    <row r="28" spans="1:11" ht="16.5">
      <c r="A28" s="209"/>
      <c r="B28" s="205"/>
      <c r="C28" s="206"/>
      <c r="D28" s="207"/>
      <c r="E28" s="207"/>
      <c r="F28" s="207"/>
      <c r="G28" s="207"/>
      <c r="H28" s="208"/>
      <c r="I28" s="208"/>
      <c r="J28" s="208"/>
      <c r="K28" s="44"/>
    </row>
    <row r="29" spans="2:11" ht="16.5">
      <c r="B29" s="26"/>
      <c r="C29" s="11"/>
      <c r="D29" s="45"/>
      <c r="E29" s="45"/>
      <c r="F29" s="45"/>
      <c r="G29" s="45"/>
      <c r="H29" s="44"/>
      <c r="I29" s="44"/>
      <c r="J29" s="44"/>
      <c r="K29" s="44"/>
    </row>
    <row r="30" ht="19.5">
      <c r="B30" s="101" t="s">
        <v>100</v>
      </c>
    </row>
    <row r="31" spans="2:8" ht="16.5">
      <c r="B31" s="114"/>
      <c r="C31" s="114"/>
      <c r="D31" s="143" t="s">
        <v>53</v>
      </c>
      <c r="E31" s="143" t="s">
        <v>22</v>
      </c>
      <c r="F31" s="144" t="s">
        <v>54</v>
      </c>
      <c r="H31" s="80"/>
    </row>
    <row r="32" spans="2:24" ht="20.25" thickBot="1">
      <c r="B32" s="116" t="s">
        <v>198</v>
      </c>
      <c r="C32" s="124"/>
      <c r="D32" s="315"/>
      <c r="E32" s="323">
        <v>0</v>
      </c>
      <c r="F32" s="325">
        <f>IF(COUNTA(C32:D32)=1,D32,E32)</f>
        <v>0</v>
      </c>
      <c r="G32" s="4"/>
      <c r="X32" s="5" t="s">
        <v>143</v>
      </c>
    </row>
    <row r="33" spans="2:31" ht="21" thickBot="1" thickTop="1">
      <c r="B33" s="119" t="s">
        <v>199</v>
      </c>
      <c r="C33" s="125"/>
      <c r="D33" s="316"/>
      <c r="E33" s="324">
        <f>2/6</f>
        <v>0.3333333333333333</v>
      </c>
      <c r="F33" s="326">
        <f>IF(COUNTA(C33:D33)=1,D33,E33)</f>
        <v>0.3333333333333333</v>
      </c>
      <c r="G33" s="4"/>
      <c r="X33" s="85" t="s">
        <v>99</v>
      </c>
      <c r="Y33" s="86" t="s">
        <v>147</v>
      </c>
      <c r="Z33" s="86" t="s">
        <v>148</v>
      </c>
      <c r="AA33" s="86" t="s">
        <v>149</v>
      </c>
      <c r="AB33" s="85" t="s">
        <v>150</v>
      </c>
      <c r="AC33" s="81" t="s">
        <v>144</v>
      </c>
      <c r="AD33" s="81" t="s">
        <v>149</v>
      </c>
      <c r="AE33" s="82" t="s">
        <v>150</v>
      </c>
    </row>
    <row r="34" spans="2:31" ht="21" thickBot="1" thickTop="1">
      <c r="B34" s="119" t="s">
        <v>200</v>
      </c>
      <c r="C34" s="125"/>
      <c r="D34" s="316"/>
      <c r="E34" s="324">
        <f>6*3/6</f>
        <v>3</v>
      </c>
      <c r="F34" s="326">
        <f>IF(COUNTA(C34:D34)=1,D34,E34)</f>
        <v>3</v>
      </c>
      <c r="G34" s="4"/>
      <c r="W34" s="5" t="s">
        <v>145</v>
      </c>
      <c r="X34" s="87">
        <f>F32+F33+F35+F52</f>
        <v>7.385022323163827</v>
      </c>
      <c r="Y34" s="88">
        <f>POWER(1+Leimikkotiedot!F23,Z34)</f>
        <v>1.0196128224222163</v>
      </c>
      <c r="Z34" s="89">
        <f>Leimikkotiedot!F21/12</f>
        <v>0.3333333333333333</v>
      </c>
      <c r="AA34" s="90">
        <f>X34*Y34</f>
        <v>7.529863454572142</v>
      </c>
      <c r="AB34" s="90">
        <f>AA34-X34</f>
        <v>0.14484113140831578</v>
      </c>
      <c r="AC34" s="83">
        <f>F32+F33+F35+H52</f>
        <v>6.8922752688770705</v>
      </c>
      <c r="AD34" s="84">
        <f>AC34*Y34</f>
        <v>7.027452239810589</v>
      </c>
      <c r="AE34" s="84">
        <f>AD34-AC34</f>
        <v>0.13517697093351888</v>
      </c>
    </row>
    <row r="35" spans="2:31" ht="21" thickBot="1" thickTop="1">
      <c r="B35" s="145" t="s">
        <v>201</v>
      </c>
      <c r="C35" s="125"/>
      <c r="D35" s="316"/>
      <c r="E35" s="324">
        <v>0</v>
      </c>
      <c r="F35" s="326">
        <f>IF(COUNTA(C35:D35)=1,D35,E35)</f>
        <v>0</v>
      </c>
      <c r="G35" s="31"/>
      <c r="W35" s="17" t="s">
        <v>146</v>
      </c>
      <c r="X35" s="87">
        <f>F32+F33+F35+F53</f>
        <v>10.719276208184862</v>
      </c>
      <c r="Y35" s="88"/>
      <c r="Z35" s="89"/>
      <c r="AA35" s="90">
        <f>Y34*X35</f>
        <v>10.929511468950679</v>
      </c>
      <c r="AB35" s="90">
        <f>AA35-X35</f>
        <v>0.2102352607658169</v>
      </c>
      <c r="AC35" s="83">
        <f>F32+F33+F35+H53</f>
        <v>9.888485247242224</v>
      </c>
      <c r="AD35" s="84">
        <f>AC35*Y34</f>
        <v>10.082426352421091</v>
      </c>
      <c r="AE35" s="84">
        <f>AD35-AC35</f>
        <v>0.1939411051788671</v>
      </c>
    </row>
    <row r="36" spans="2:7" ht="15.75" thickTop="1">
      <c r="B36" s="134"/>
      <c r="C36" s="51"/>
      <c r="D36" s="32"/>
      <c r="E36" s="32"/>
      <c r="F36" s="33"/>
      <c r="G36" s="31"/>
    </row>
    <row r="37" spans="2:9" ht="16.5">
      <c r="B37" s="21"/>
      <c r="D37" s="150" t="s">
        <v>192</v>
      </c>
      <c r="E37" s="150" t="s">
        <v>195</v>
      </c>
      <c r="F37" s="151" t="s">
        <v>193</v>
      </c>
      <c r="G37" s="151" t="s">
        <v>202</v>
      </c>
      <c r="H37" s="152" t="s">
        <v>194</v>
      </c>
      <c r="I37" s="153" t="s">
        <v>197</v>
      </c>
    </row>
    <row r="38" spans="2:9" s="4" customFormat="1" ht="19.5">
      <c r="B38" s="158" t="s">
        <v>174</v>
      </c>
      <c r="D38" s="147">
        <f>F32+F33+F34</f>
        <v>3.3333333333333335</v>
      </c>
      <c r="E38" s="147">
        <f>D38*(D20/E20)</f>
        <v>1.6516548260822588</v>
      </c>
      <c r="F38" s="148">
        <f>F32+((F33)*(D12/D14))+F34+F35</f>
        <v>3.3703703703703702</v>
      </c>
      <c r="G38" s="148">
        <f>F38*(D22/E22)</f>
        <v>1.5854578246066628</v>
      </c>
      <c r="H38" s="149">
        <f>(F33)*(D12/D16)+F32+F34+F35</f>
        <v>3.4166666666666665</v>
      </c>
      <c r="I38" s="149">
        <f>H38*(D24/E24)</f>
        <v>1.5744320791406885</v>
      </c>
    </row>
    <row r="39" spans="1:10" s="130" customFormat="1" ht="15">
      <c r="A39" s="210"/>
      <c r="B39" s="210"/>
      <c r="C39" s="210"/>
      <c r="D39" s="210"/>
      <c r="E39" s="210"/>
      <c r="F39" s="210"/>
      <c r="G39" s="210"/>
      <c r="H39" s="210"/>
      <c r="I39" s="210"/>
      <c r="J39" s="210"/>
    </row>
    <row r="40" s="4" customFormat="1" ht="12.75"/>
    <row r="41" ht="19.5">
      <c r="B41" s="101" t="s">
        <v>11</v>
      </c>
    </row>
    <row r="42" spans="2:6" ht="16.5">
      <c r="B42" s="114"/>
      <c r="C42" s="114"/>
      <c r="D42" s="143" t="s">
        <v>53</v>
      </c>
      <c r="E42" s="143" t="s">
        <v>22</v>
      </c>
      <c r="F42" s="144" t="s">
        <v>54</v>
      </c>
    </row>
    <row r="43" spans="2:8" ht="20.25" thickBot="1">
      <c r="B43" s="163" t="s">
        <v>12</v>
      </c>
      <c r="C43" s="164"/>
      <c r="D43" s="341"/>
      <c r="E43" s="319">
        <v>7.8</v>
      </c>
      <c r="F43" s="325">
        <f aca="true" t="shared" si="0" ref="F43:F49">IF(COUNTA(C43:D43)=1,D43,E43)</f>
        <v>7.8</v>
      </c>
      <c r="G43" s="4"/>
      <c r="H43" s="34"/>
    </row>
    <row r="44" spans="2:8" ht="21" thickBot="1" thickTop="1">
      <c r="B44" s="238" t="s">
        <v>218</v>
      </c>
      <c r="C44" s="165"/>
      <c r="D44" s="342"/>
      <c r="E44" s="320">
        <v>1.2</v>
      </c>
      <c r="F44" s="327">
        <f t="shared" si="0"/>
        <v>1.2</v>
      </c>
      <c r="G44" s="4"/>
      <c r="H44" s="34"/>
    </row>
    <row r="45" spans="2:9" ht="21" thickBot="1" thickTop="1">
      <c r="B45" s="119" t="s">
        <v>203</v>
      </c>
      <c r="C45" s="145"/>
      <c r="D45" s="343"/>
      <c r="E45" s="321">
        <f>60*6/6</f>
        <v>60</v>
      </c>
      <c r="F45" s="278">
        <f t="shared" si="0"/>
        <v>60</v>
      </c>
      <c r="G45" s="4"/>
      <c r="I45" s="39"/>
    </row>
    <row r="46" spans="2:7" ht="21" thickBot="1" thickTop="1">
      <c r="B46" s="145" t="s">
        <v>13</v>
      </c>
      <c r="C46" s="145"/>
      <c r="D46" s="343"/>
      <c r="E46" s="281">
        <v>4.7</v>
      </c>
      <c r="F46" s="326">
        <f t="shared" si="0"/>
        <v>4.7</v>
      </c>
      <c r="G46" s="4"/>
    </row>
    <row r="47" spans="2:7" ht="21" thickBot="1" thickTop="1">
      <c r="B47" s="145" t="s">
        <v>219</v>
      </c>
      <c r="C47" s="145"/>
      <c r="D47" s="343"/>
      <c r="E47" s="322">
        <v>1.3</v>
      </c>
      <c r="F47" s="328">
        <f t="shared" si="0"/>
        <v>1.3</v>
      </c>
      <c r="G47" s="4"/>
    </row>
    <row r="48" spans="2:26" ht="21" thickBot="1" thickTop="1">
      <c r="B48" s="119" t="s">
        <v>204</v>
      </c>
      <c r="C48" s="145"/>
      <c r="D48" s="343"/>
      <c r="E48" s="321">
        <v>45</v>
      </c>
      <c r="F48" s="278">
        <f t="shared" si="0"/>
        <v>45</v>
      </c>
      <c r="G48" s="4"/>
      <c r="W48" s="5" t="s">
        <v>165</v>
      </c>
      <c r="X48" s="61" t="s">
        <v>161</v>
      </c>
      <c r="Y48" s="61" t="s">
        <v>161</v>
      </c>
      <c r="Z48" s="5" t="s">
        <v>162</v>
      </c>
    </row>
    <row r="49" spans="2:26" ht="21" thickBot="1" thickTop="1">
      <c r="B49" s="122" t="s">
        <v>213</v>
      </c>
      <c r="C49" s="125"/>
      <c r="D49" s="343"/>
      <c r="E49" s="321">
        <v>45</v>
      </c>
      <c r="F49" s="278">
        <f t="shared" si="0"/>
        <v>45</v>
      </c>
      <c r="G49" s="4"/>
      <c r="V49" s="18"/>
      <c r="W49" s="95">
        <f>0.29+0.12*LN(0.06*X49)</f>
        <v>0.20686083401899258</v>
      </c>
      <c r="X49" s="78">
        <f>(D20/D6)/(100/D17)</f>
        <v>8.336007073715562</v>
      </c>
      <c r="Y49" s="78">
        <f>(D24/D6)/(100/D17)</f>
        <v>6.668805658972449</v>
      </c>
      <c r="Z49" s="5">
        <f>38/50</f>
        <v>0.76</v>
      </c>
    </row>
    <row r="50" spans="2:7" ht="13.5" thickTop="1">
      <c r="B50" s="17"/>
      <c r="D50" s="4"/>
      <c r="E50" s="4"/>
      <c r="F50" s="4"/>
      <c r="G50" s="4"/>
    </row>
    <row r="51" spans="4:28" ht="16.5">
      <c r="D51" s="150" t="s">
        <v>192</v>
      </c>
      <c r="E51" s="150" t="s">
        <v>195</v>
      </c>
      <c r="F51" s="151" t="s">
        <v>193</v>
      </c>
      <c r="G51" s="151" t="s">
        <v>202</v>
      </c>
      <c r="H51" s="152" t="s">
        <v>194</v>
      </c>
      <c r="I51" s="153" t="s">
        <v>197</v>
      </c>
      <c r="W51" s="5" t="s">
        <v>32</v>
      </c>
      <c r="X51" s="13" t="s">
        <v>33</v>
      </c>
      <c r="Y51" s="35" t="s">
        <v>33</v>
      </c>
      <c r="Z51" s="5" t="s">
        <v>34</v>
      </c>
      <c r="AA51" s="5" t="s">
        <v>35</v>
      </c>
      <c r="AB51" s="5" t="s">
        <v>36</v>
      </c>
    </row>
    <row r="52" spans="2:28" ht="19.5">
      <c r="B52" s="157" t="s">
        <v>23</v>
      </c>
      <c r="C52" s="156"/>
      <c r="D52" s="147">
        <f>(((W52+X52+Z52+AA52+AB52)*F44)/60)*F45+(F49/D20)</f>
        <v>6.346520090847445</v>
      </c>
      <c r="E52" s="147">
        <f>D52*(D20/E20)</f>
        <v>3.1446781610628594</v>
      </c>
      <c r="F52" s="247">
        <f>D52*(D12/D14)</f>
        <v>7.0516889898304935</v>
      </c>
      <c r="G52" s="247">
        <f>F52*(D22/E22)</f>
        <v>3.3171889902387264</v>
      </c>
      <c r="H52" s="149">
        <f>(((W52+Y52+Z52+AA52+AB52)*F44)/60)*F45+(F49/D24)</f>
        <v>6.5589419355437375</v>
      </c>
      <c r="I52" s="149">
        <f>H52*(D24/E24)</f>
        <v>3.0224220259144916</v>
      </c>
      <c r="W52" s="36">
        <f>0.6+(0.059-0.78*LN(W49))</f>
        <v>1.8880530287644892</v>
      </c>
      <c r="X52" s="37">
        <f>0.039/(0.06*X49)+0.25+2.44/X49</f>
        <v>0.6206810674073374</v>
      </c>
      <c r="Y52" s="38">
        <f>0.039/(0.06*Y49)+0.25+2.44/Y49</f>
        <v>0.7133513342591717</v>
      </c>
      <c r="Z52" s="36">
        <f>(0.5+0.018*(2*D7*0.53))/F43</f>
        <v>0.6756410256410256</v>
      </c>
      <c r="AA52" s="36">
        <f>(0.87+0.019*(2*D7*0.47))/(F43*Z49)</f>
        <v>0.899966261808367</v>
      </c>
      <c r="AB52" s="36">
        <f>0.2+(0.28-0.4*LN(0.38))</f>
        <v>0.8670336105046823</v>
      </c>
    </row>
    <row r="53" spans="2:28" s="4" customFormat="1" ht="19.5">
      <c r="B53" s="158" t="s">
        <v>24</v>
      </c>
      <c r="C53" s="159"/>
      <c r="D53" s="147">
        <f>(((W53+X53+Z53+AA53+AB53)*F47)/60)*F48</f>
        <v>9.347348587366376</v>
      </c>
      <c r="E53" s="147">
        <f>D53*(D20/E20)</f>
        <v>4.631578021619058</v>
      </c>
      <c r="F53" s="148">
        <f>D53*(D12/D14)</f>
        <v>10.385942874851528</v>
      </c>
      <c r="G53" s="148">
        <f>F53*(D22/E22)</f>
        <v>4.885657238626172</v>
      </c>
      <c r="H53" s="149">
        <f>(((W53+Y53+Z53+AA53+AB53)*F47)/60)*F48</f>
        <v>9.55515191390889</v>
      </c>
      <c r="I53" s="149">
        <f>H53*(D24/E24)</f>
        <v>4.403103715410938</v>
      </c>
      <c r="W53" s="160">
        <f>1.63+(-1.3299-2.1841*LN(W49))</f>
        <v>3.7416060514416927</v>
      </c>
      <c r="X53" s="161">
        <f>0.28/(0.06*X49)+0.25+2.44/X49</f>
        <v>1.1025264678667135</v>
      </c>
      <c r="Y53" s="162">
        <f>0.28/(0.06*Y49)+0.25+2.44/Y49</f>
        <v>1.315658084833392</v>
      </c>
      <c r="Z53" s="160">
        <f>(0.5+0.018*(2*D7*0.53))/F46</f>
        <v>1.1212765957446806</v>
      </c>
      <c r="AA53" s="160">
        <f>(0.87+0.019*(2*D7*0.47))/(F46*Z49)</f>
        <v>1.4935610302351623</v>
      </c>
      <c r="AB53" s="160">
        <f>0.33+(-0.034-1.48*LN(0.29))</f>
        <v>2.1280540468823936</v>
      </c>
    </row>
    <row r="54" spans="1:10" s="130" customFormat="1" ht="15">
      <c r="A54" s="210"/>
      <c r="B54" s="210"/>
      <c r="C54" s="210"/>
      <c r="D54" s="210"/>
      <c r="E54" s="210"/>
      <c r="F54" s="210"/>
      <c r="G54" s="210"/>
      <c r="H54" s="210"/>
      <c r="I54" s="210"/>
      <c r="J54" s="210"/>
    </row>
    <row r="56" spans="2:20" ht="19.5">
      <c r="B56" s="136" t="s">
        <v>65</v>
      </c>
      <c r="I56" s="57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</row>
    <row r="57" spans="2:20" ht="16.5">
      <c r="B57" s="114"/>
      <c r="C57" s="114"/>
      <c r="D57" s="143" t="s">
        <v>53</v>
      </c>
      <c r="E57" s="143" t="s">
        <v>22</v>
      </c>
      <c r="F57" s="144" t="s">
        <v>54</v>
      </c>
      <c r="J57" s="4"/>
      <c r="K57" s="4"/>
      <c r="L57" s="10"/>
      <c r="M57" s="10"/>
      <c r="N57" s="10"/>
      <c r="O57" s="10"/>
      <c r="P57" s="10"/>
      <c r="Q57" s="10"/>
      <c r="R57" s="4"/>
      <c r="S57" s="4"/>
      <c r="T57" s="4"/>
    </row>
    <row r="58" spans="2:20" ht="20.25" thickBot="1">
      <c r="B58" s="116" t="s">
        <v>64</v>
      </c>
      <c r="C58" s="124"/>
      <c r="D58" s="315"/>
      <c r="E58" s="319">
        <v>30</v>
      </c>
      <c r="F58" s="329">
        <f aca="true" t="shared" si="1" ref="F58:F63">IF(COUNTA(C58:D58)=1,D58,E58)</f>
        <v>30</v>
      </c>
      <c r="G58" s="4"/>
      <c r="I58" s="10"/>
      <c r="J58" s="4"/>
      <c r="K58" s="32"/>
      <c r="L58" s="32"/>
      <c r="M58" s="32"/>
      <c r="N58" s="32"/>
      <c r="O58" s="32"/>
      <c r="P58" s="32"/>
      <c r="Q58" s="32"/>
      <c r="R58" s="4"/>
      <c r="S58" s="4"/>
      <c r="T58" s="4"/>
    </row>
    <row r="59" spans="2:20" ht="21" thickBot="1" thickTop="1">
      <c r="B59" s="119" t="s">
        <v>210</v>
      </c>
      <c r="C59" s="125"/>
      <c r="D59" s="316"/>
      <c r="E59" s="321">
        <v>51</v>
      </c>
      <c r="F59" s="278">
        <f t="shared" si="1"/>
        <v>51</v>
      </c>
      <c r="G59" s="4"/>
      <c r="I59" s="10"/>
      <c r="J59" s="4"/>
      <c r="K59" s="32"/>
      <c r="L59" s="32"/>
      <c r="M59" s="32"/>
      <c r="N59" s="32"/>
      <c r="O59" s="32"/>
      <c r="P59" s="32"/>
      <c r="Q59" s="32"/>
      <c r="R59" s="4"/>
      <c r="S59" s="4"/>
      <c r="T59" s="4"/>
    </row>
    <row r="60" spans="2:20" ht="21" thickBot="1" thickTop="1">
      <c r="B60" s="119" t="s">
        <v>211</v>
      </c>
      <c r="C60" s="125"/>
      <c r="D60" s="316"/>
      <c r="E60" s="321">
        <v>77</v>
      </c>
      <c r="F60" s="278">
        <f t="shared" si="1"/>
        <v>77</v>
      </c>
      <c r="G60" s="4"/>
      <c r="I60" s="10"/>
      <c r="J60" s="4"/>
      <c r="K60" s="32"/>
      <c r="L60" s="32"/>
      <c r="M60" s="32"/>
      <c r="N60" s="32"/>
      <c r="O60" s="32"/>
      <c r="P60" s="32"/>
      <c r="Q60" s="32"/>
      <c r="R60" s="4"/>
      <c r="S60" s="4"/>
      <c r="T60" s="4"/>
    </row>
    <row r="61" spans="2:20" ht="21" thickBot="1" thickTop="1">
      <c r="B61" s="122" t="s">
        <v>63</v>
      </c>
      <c r="C61" s="125"/>
      <c r="D61" s="316"/>
      <c r="E61" s="281">
        <v>1.7</v>
      </c>
      <c r="F61" s="328">
        <f t="shared" si="1"/>
        <v>1.7</v>
      </c>
      <c r="G61" s="4"/>
      <c r="I61" s="10"/>
      <c r="J61" s="4"/>
      <c r="K61" s="32"/>
      <c r="L61" s="32"/>
      <c r="M61" s="32"/>
      <c r="N61" s="32"/>
      <c r="O61" s="32"/>
      <c r="P61" s="32"/>
      <c r="Q61" s="32"/>
      <c r="R61" s="4"/>
      <c r="S61" s="4"/>
      <c r="T61" s="4"/>
    </row>
    <row r="62" spans="2:20" ht="21" thickBot="1" thickTop="1">
      <c r="B62" s="119" t="s">
        <v>18</v>
      </c>
      <c r="C62" s="125"/>
      <c r="D62" s="316"/>
      <c r="E62" s="324">
        <v>0.5</v>
      </c>
      <c r="F62" s="326">
        <f t="shared" si="1"/>
        <v>0.5</v>
      </c>
      <c r="G62" s="4"/>
      <c r="I62" s="10"/>
      <c r="J62" s="4"/>
      <c r="K62" s="32"/>
      <c r="L62" s="32"/>
      <c r="M62" s="32"/>
      <c r="N62" s="32"/>
      <c r="O62" s="32"/>
      <c r="P62" s="32"/>
      <c r="Q62" s="32"/>
      <c r="R62" s="4"/>
      <c r="S62" s="4"/>
      <c r="T62" s="4"/>
    </row>
    <row r="63" spans="2:20" ht="21" thickBot="1" thickTop="1">
      <c r="B63" s="119" t="s">
        <v>19</v>
      </c>
      <c r="C63" s="125"/>
      <c r="D63" s="316"/>
      <c r="E63" s="324">
        <v>0.3</v>
      </c>
      <c r="F63" s="326">
        <f t="shared" si="1"/>
        <v>0.3</v>
      </c>
      <c r="G63" s="4"/>
      <c r="I63" s="10"/>
      <c r="J63" s="4"/>
      <c r="K63" s="32"/>
      <c r="L63" s="32"/>
      <c r="M63" s="32"/>
      <c r="N63" s="32"/>
      <c r="O63" s="32"/>
      <c r="P63" s="32"/>
      <c r="Q63" s="32"/>
      <c r="R63" s="4"/>
      <c r="S63" s="4"/>
      <c r="T63" s="4"/>
    </row>
    <row r="64" spans="2:20" ht="13.5" thickTop="1">
      <c r="B64" s="17"/>
      <c r="D64" s="4"/>
      <c r="E64" s="4"/>
      <c r="F64" s="4"/>
      <c r="G64" s="4"/>
      <c r="I64" s="58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</row>
    <row r="65" spans="4:30" ht="16.5">
      <c r="D65" s="150" t="s">
        <v>192</v>
      </c>
      <c r="E65" s="150" t="s">
        <v>195</v>
      </c>
      <c r="F65" s="151" t="s">
        <v>193</v>
      </c>
      <c r="G65" s="151" t="s">
        <v>202</v>
      </c>
      <c r="H65" s="152" t="s">
        <v>194</v>
      </c>
      <c r="I65" s="153" t="s">
        <v>197</v>
      </c>
      <c r="J65" s="4"/>
      <c r="K65" s="10"/>
      <c r="L65" s="10"/>
      <c r="M65" s="10"/>
      <c r="N65" s="10"/>
      <c r="O65" s="10"/>
      <c r="P65" s="10"/>
      <c r="Q65" s="10"/>
      <c r="R65" s="32"/>
      <c r="S65" s="32"/>
      <c r="T65" s="4"/>
      <c r="AA65" s="5" t="s">
        <v>59</v>
      </c>
      <c r="AB65" s="5" t="s">
        <v>60</v>
      </c>
      <c r="AC65" s="5" t="s">
        <v>37</v>
      </c>
      <c r="AD65" s="5" t="s">
        <v>61</v>
      </c>
    </row>
    <row r="66" spans="2:30" s="4" customFormat="1" ht="20.25">
      <c r="B66" s="158" t="s">
        <v>26</v>
      </c>
      <c r="D66" s="147">
        <f>((AA66+AB66)*F60+(AC66+AD66)*F59)/F58</f>
        <v>8.519975926120464</v>
      </c>
      <c r="E66" s="147">
        <f>D66*(D20/E20)</f>
        <v>4.221617806944458</v>
      </c>
      <c r="F66" s="148">
        <f>H66</f>
        <v>8.519975926120464</v>
      </c>
      <c r="G66" s="146">
        <f>F66*(D22/E22)</f>
        <v>4.007886675090752</v>
      </c>
      <c r="H66" s="149">
        <f>((AA66+AB66)*F60+(AC66+AD66)*F59)/F58</f>
        <v>8.519975926120464</v>
      </c>
      <c r="I66" s="149">
        <f>H66*(D24/E24)</f>
        <v>3.9260849009533043</v>
      </c>
      <c r="K66" s="46"/>
      <c r="L66" s="46"/>
      <c r="M66" s="46"/>
      <c r="N66" s="46"/>
      <c r="O66" s="46"/>
      <c r="P66" s="46"/>
      <c r="Q66" s="46"/>
      <c r="R66" s="46"/>
      <c r="S66" s="46"/>
      <c r="W66" s="191"/>
      <c r="X66" s="191"/>
      <c r="Y66" s="191"/>
      <c r="Z66" s="191"/>
      <c r="AA66" s="191">
        <f>D8/(5.7917+30.63*LOG(D8))</f>
        <v>0.7974538284988528</v>
      </c>
      <c r="AB66" s="191">
        <f>D8/(-0.44591+31.695*LOG(D8))</f>
        <v>0.8661731557039253</v>
      </c>
      <c r="AC66" s="191">
        <f>F61</f>
        <v>1.7</v>
      </c>
      <c r="AD66" s="191">
        <f>F62+F63</f>
        <v>0.8</v>
      </c>
    </row>
    <row r="67" spans="1:10" s="130" customFormat="1" ht="15">
      <c r="A67" s="210"/>
      <c r="B67" s="210"/>
      <c r="C67" s="210"/>
      <c r="D67" s="210"/>
      <c r="E67" s="210"/>
      <c r="F67" s="210"/>
      <c r="G67" s="210"/>
      <c r="H67" s="210"/>
      <c r="I67" s="210"/>
      <c r="J67" s="210"/>
    </row>
    <row r="68" s="130" customFormat="1" ht="15"/>
    <row r="69" spans="2:20" ht="19.5">
      <c r="B69" s="136" t="s">
        <v>66</v>
      </c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</row>
    <row r="70" spans="2:20" ht="16.5">
      <c r="B70" s="114"/>
      <c r="C70" s="114"/>
      <c r="D70" s="143" t="s">
        <v>53</v>
      </c>
      <c r="E70" s="143" t="s">
        <v>22</v>
      </c>
      <c r="F70" s="144" t="s">
        <v>54</v>
      </c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</row>
    <row r="71" spans="2:20" ht="20.25" thickBot="1">
      <c r="B71" s="163" t="s">
        <v>215</v>
      </c>
      <c r="C71" s="196"/>
      <c r="D71" s="315"/>
      <c r="E71" s="323">
        <v>2</v>
      </c>
      <c r="F71" s="325">
        <f>IF(COUNTA(C71:D71)=1,D71,E71)</f>
        <v>2</v>
      </c>
      <c r="G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</row>
    <row r="72" spans="2:20" ht="13.5" thickTop="1">
      <c r="B72" s="21"/>
      <c r="D72" s="39"/>
      <c r="E72" s="39"/>
      <c r="F72" s="4"/>
      <c r="G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</row>
    <row r="73" spans="4:20" ht="16.5">
      <c r="D73" s="150" t="s">
        <v>192</v>
      </c>
      <c r="E73" s="150" t="s">
        <v>195</v>
      </c>
      <c r="F73" s="151" t="s">
        <v>193</v>
      </c>
      <c r="G73" s="151" t="s">
        <v>202</v>
      </c>
      <c r="H73" s="152" t="s">
        <v>194</v>
      </c>
      <c r="I73" s="153" t="s">
        <v>197</v>
      </c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</row>
    <row r="74" spans="2:9" s="4" customFormat="1" ht="19.5">
      <c r="B74" s="181" t="s">
        <v>27</v>
      </c>
      <c r="D74" s="147">
        <f>F71</f>
        <v>2</v>
      </c>
      <c r="E74" s="147">
        <f>D74*(D20/E20)</f>
        <v>0.9909928956493552</v>
      </c>
      <c r="F74" s="148">
        <f>H74</f>
        <v>2</v>
      </c>
      <c r="G74" s="148">
        <f>F74*(D22/E22)</f>
        <v>0.9408211266896681</v>
      </c>
      <c r="H74" s="149">
        <f>F71</f>
        <v>2</v>
      </c>
      <c r="I74" s="149">
        <f>H74*(D24/E24)</f>
        <v>0.9216187780335738</v>
      </c>
    </row>
    <row r="75" spans="1:10" s="4" customFormat="1" ht="16.5">
      <c r="A75" s="212"/>
      <c r="B75" s="211"/>
      <c r="C75" s="212"/>
      <c r="D75" s="213"/>
      <c r="E75" s="214"/>
      <c r="F75" s="215"/>
      <c r="G75" s="216"/>
      <c r="H75" s="212"/>
      <c r="I75" s="212"/>
      <c r="J75" s="212"/>
    </row>
    <row r="76" spans="10:20" ht="12.75"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</row>
    <row r="77" spans="2:20" ht="21">
      <c r="B77" s="169" t="s">
        <v>176</v>
      </c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</row>
    <row r="78" spans="4:20" ht="16.5">
      <c r="D78" s="150" t="s">
        <v>192</v>
      </c>
      <c r="E78" s="150" t="s">
        <v>195</v>
      </c>
      <c r="F78" s="151" t="s">
        <v>193</v>
      </c>
      <c r="G78" s="151" t="s">
        <v>202</v>
      </c>
      <c r="H78" s="152" t="s">
        <v>194</v>
      </c>
      <c r="I78" s="153" t="s">
        <v>197</v>
      </c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</row>
    <row r="79" spans="2:9" ht="19.5">
      <c r="B79" s="135" t="s">
        <v>86</v>
      </c>
      <c r="C79" s="135"/>
      <c r="D79" s="147">
        <f>D38+D52+D66+D74</f>
        <v>20.199829350301243</v>
      </c>
      <c r="E79" s="147">
        <f>E38+E52+E66+E74</f>
        <v>10.008943689738931</v>
      </c>
      <c r="F79" s="247">
        <f>F38+F52+F66+F74+AB34</f>
        <v>21.086876417729645</v>
      </c>
      <c r="G79" s="247">
        <f>G38+G52+G66+G74+(AB34*(D22/E22))</f>
        <v>9.9194894148471</v>
      </c>
      <c r="H79" s="149">
        <f>H38+H52+H66+H74+AE34</f>
        <v>20.630761499264384</v>
      </c>
      <c r="I79" s="149">
        <f>I38+I52+I66+I74+(AE34*(D24/E24))</f>
        <v>9.506848601427075</v>
      </c>
    </row>
    <row r="80" spans="2:9" s="4" customFormat="1" ht="19.5">
      <c r="B80" s="104" t="s">
        <v>87</v>
      </c>
      <c r="C80" s="111"/>
      <c r="D80" s="147">
        <f>D38+D53+D66+D74</f>
        <v>23.200657846820175</v>
      </c>
      <c r="E80" s="147">
        <f>E38+E53+E66+E74</f>
        <v>11.495843550295131</v>
      </c>
      <c r="F80" s="148">
        <f>F38+F53+F66+F74+AB35</f>
        <v>24.48652443210818</v>
      </c>
      <c r="G80" s="148">
        <f>G38+G53+G66+G74+(AB35*(D22/E22))</f>
        <v>11.518719752465051</v>
      </c>
      <c r="H80" s="149">
        <f>H38+H53+H66+H74+AE35</f>
        <v>23.68573561187489</v>
      </c>
      <c r="I80" s="149">
        <f>I38+I53+I66+I74+(AE35*(D24/E24))</f>
        <v>10.914609355721218</v>
      </c>
    </row>
    <row r="81" spans="1:10" s="130" customFormat="1" ht="15">
      <c r="A81" s="210"/>
      <c r="B81" s="210"/>
      <c r="C81" s="210"/>
      <c r="D81" s="210"/>
      <c r="E81" s="210"/>
      <c r="F81" s="210"/>
      <c r="G81" s="210"/>
      <c r="H81" s="210"/>
      <c r="I81" s="210"/>
      <c r="J81" s="210"/>
    </row>
  </sheetData>
  <sheetProtection sheet="1" objects="1" scenarios="1"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99"/>
  <sheetViews>
    <sheetView zoomScalePageLayoutView="0" workbookViewId="0" topLeftCell="A28">
      <selection activeCell="E103" sqref="E103"/>
    </sheetView>
  </sheetViews>
  <sheetFormatPr defaultColWidth="9.140625" defaultRowHeight="12.75"/>
  <cols>
    <col min="1" max="1" width="0.71875" style="5" customWidth="1"/>
    <col min="2" max="2" width="9.140625" style="5" customWidth="1"/>
    <col min="3" max="3" width="39.57421875" style="5" customWidth="1"/>
    <col min="4" max="4" width="16.8515625" style="5" bestFit="1" customWidth="1"/>
    <col min="5" max="5" width="19.140625" style="5" bestFit="1" customWidth="1"/>
    <col min="6" max="6" width="21.8515625" style="5" bestFit="1" customWidth="1"/>
    <col min="7" max="7" width="24.8515625" style="5" bestFit="1" customWidth="1"/>
    <col min="8" max="8" width="17.00390625" style="5" bestFit="1" customWidth="1"/>
    <col min="9" max="9" width="19.28125" style="4" bestFit="1" customWidth="1"/>
    <col min="10" max="10" width="20.57421875" style="5" customWidth="1"/>
    <col min="11" max="11" width="15.00390625" style="5" customWidth="1"/>
    <col min="12" max="17" width="9.140625" style="5" customWidth="1"/>
    <col min="18" max="20" width="0" style="5" hidden="1" customWidth="1"/>
    <col min="21" max="22" width="9.140625" style="5" hidden="1" customWidth="1"/>
    <col min="23" max="23" width="16.7109375" style="5" hidden="1" customWidth="1"/>
    <col min="24" max="25" width="20.8515625" style="5" hidden="1" customWidth="1"/>
    <col min="26" max="26" width="17.7109375" style="5" hidden="1" customWidth="1"/>
    <col min="27" max="27" width="21.8515625" style="5" hidden="1" customWidth="1"/>
    <col min="28" max="28" width="18.140625" style="5" hidden="1" customWidth="1"/>
    <col min="29" max="29" width="9.140625" style="5" hidden="1" customWidth="1"/>
    <col min="30" max="30" width="14.7109375" style="5" hidden="1" customWidth="1"/>
    <col min="31" max="47" width="9.140625" style="5" hidden="1" customWidth="1"/>
    <col min="48" max="16384" width="9.140625" style="5" customWidth="1"/>
  </cols>
  <sheetData>
    <row r="1" ht="20.25" hidden="1">
      <c r="B1" s="6" t="s">
        <v>30</v>
      </c>
    </row>
    <row r="2" ht="12.75" hidden="1"/>
    <row r="3" ht="15.75" hidden="1">
      <c r="B3" s="29" t="s">
        <v>0</v>
      </c>
    </row>
    <row r="4" spans="4:25" ht="12.75" hidden="1">
      <c r="D4" s="21" t="s">
        <v>1</v>
      </c>
      <c r="E4" s="21" t="s">
        <v>2</v>
      </c>
      <c r="F4" s="21" t="s">
        <v>3</v>
      </c>
      <c r="G4" s="21" t="s">
        <v>4</v>
      </c>
      <c r="H4" s="21" t="s">
        <v>5</v>
      </c>
      <c r="I4" s="32" t="s">
        <v>6</v>
      </c>
      <c r="J4" s="4"/>
      <c r="K4" s="4"/>
      <c r="X4" s="5" t="s">
        <v>43</v>
      </c>
      <c r="Y4" s="16">
        <f>(E5+H5)*184</f>
        <v>55200</v>
      </c>
    </row>
    <row r="5" spans="2:25" ht="12.75" hidden="1">
      <c r="B5" s="8" t="s">
        <v>10</v>
      </c>
      <c r="D5" s="75">
        <f>Leimikkotiedot!D6</f>
        <v>20</v>
      </c>
      <c r="E5" s="75">
        <f>Leimikkotiedot!E6</f>
        <v>180</v>
      </c>
      <c r="F5" s="75">
        <f>Leimikkotiedot!F6</f>
        <v>20</v>
      </c>
      <c r="G5" s="75">
        <f>Leimikkotiedot!G6</f>
        <v>30</v>
      </c>
      <c r="H5" s="75">
        <f>Leimikkotiedot!H6</f>
        <v>120</v>
      </c>
      <c r="I5" s="75">
        <f>Leimikkotiedot!I6</f>
        <v>80</v>
      </c>
      <c r="J5" s="4"/>
      <c r="K5" s="4"/>
      <c r="X5" s="5" t="s">
        <v>42</v>
      </c>
      <c r="Y5" s="5">
        <f>(D5+G5)*94</f>
        <v>4700</v>
      </c>
    </row>
    <row r="6" spans="2:25" ht="12.75" hidden="1">
      <c r="B6" s="8" t="s">
        <v>7</v>
      </c>
      <c r="D6" s="75">
        <f>Leimikkotiedot!D7</f>
        <v>2</v>
      </c>
      <c r="J6" s="4"/>
      <c r="K6" s="4"/>
      <c r="X6" s="5" t="s">
        <v>44</v>
      </c>
      <c r="Y6" s="5">
        <f>(F5+I5)*85</f>
        <v>8500</v>
      </c>
    </row>
    <row r="7" spans="2:4" ht="12.75" hidden="1">
      <c r="B7" s="8" t="s">
        <v>8</v>
      </c>
      <c r="D7" s="75">
        <f>Leimikkotiedot!D8</f>
        <v>250</v>
      </c>
    </row>
    <row r="8" spans="2:29" ht="12.75" hidden="1">
      <c r="B8" s="9" t="s">
        <v>9</v>
      </c>
      <c r="D8" s="75">
        <f>Leimikkotiedot!D9</f>
        <v>45</v>
      </c>
      <c r="X8" s="17" t="s">
        <v>45</v>
      </c>
      <c r="Y8" s="18">
        <f>(19.8*(1-D13)-2.441*D13)*(1/(1-D13))</f>
        <v>16.816555555555556</v>
      </c>
      <c r="Z8" s="17" t="s">
        <v>48</v>
      </c>
      <c r="AA8" s="18">
        <f>(19.7*(1-D17)-2.441*D17)*(1/(1-D17))</f>
        <v>18.072666666666667</v>
      </c>
      <c r="AC8" s="18">
        <f>(19.7*(1-D15)-2.441*D15)*(1/(1-D15))</f>
        <v>17.702818181818184</v>
      </c>
    </row>
    <row r="9" spans="2:29" ht="12.75" hidden="1">
      <c r="B9" s="32" t="s">
        <v>221</v>
      </c>
      <c r="C9" s="248"/>
      <c r="D9" s="250">
        <f>Leimikkotiedot!D10</f>
        <v>10</v>
      </c>
      <c r="X9" s="17"/>
      <c r="Y9" s="18"/>
      <c r="Z9" s="17"/>
      <c r="AA9" s="18"/>
      <c r="AC9" s="18"/>
    </row>
    <row r="10" spans="2:29" ht="12.75" hidden="1">
      <c r="B10" s="32" t="s">
        <v>222</v>
      </c>
      <c r="C10" s="248"/>
      <c r="D10" s="250">
        <f>Leimikkotiedot!D11</f>
        <v>10</v>
      </c>
      <c r="X10" s="17"/>
      <c r="Y10" s="18"/>
      <c r="Z10" s="17"/>
      <c r="AA10" s="18"/>
      <c r="AC10" s="18"/>
    </row>
    <row r="11" spans="2:29" ht="12.75" hidden="1">
      <c r="B11" s="249"/>
      <c r="C11" s="4"/>
      <c r="D11" s="32"/>
      <c r="X11" s="17"/>
      <c r="Y11" s="18"/>
      <c r="Z11" s="17"/>
      <c r="AA11" s="18"/>
      <c r="AC11" s="18"/>
    </row>
    <row r="12" spans="2:29" ht="12.75" hidden="1">
      <c r="B12" s="9"/>
      <c r="D12" s="32"/>
      <c r="X12" s="17"/>
      <c r="Y12" s="18"/>
      <c r="Z12" s="17"/>
      <c r="AA12" s="18"/>
      <c r="AC12" s="18"/>
    </row>
    <row r="13" spans="2:29" ht="12.75" hidden="1">
      <c r="B13" s="8" t="s">
        <v>118</v>
      </c>
      <c r="C13" s="69"/>
      <c r="D13" s="70">
        <f>Leimikkotiedot!F14</f>
        <v>0.55</v>
      </c>
      <c r="X13" s="17" t="s">
        <v>46</v>
      </c>
      <c r="Y13" s="18">
        <f>(20.5*(1-D13)-2.441*D13)*(1/(1-D13))</f>
        <v>17.516555555555556</v>
      </c>
      <c r="Z13" s="17" t="s">
        <v>49</v>
      </c>
      <c r="AA13" s="18">
        <f>(20.4*(1-D17)-2.441*D17)*(1/(1-D17))</f>
        <v>18.772666666666666</v>
      </c>
      <c r="AC13" s="18">
        <f>(20.4*(1-D15)-2.441*D15)*(1/(1-D15))</f>
        <v>18.402818181818184</v>
      </c>
    </row>
    <row r="14" spans="2:29" ht="12.75" hidden="1">
      <c r="B14" s="8" t="s">
        <v>119</v>
      </c>
      <c r="C14" s="69"/>
      <c r="D14" s="70">
        <f>Leimikkotiedot!F15</f>
        <v>0.7</v>
      </c>
      <c r="X14" s="17" t="s">
        <v>47</v>
      </c>
      <c r="Y14" s="18">
        <f>(19.7*(1-D13)-2.441*D13)*(1/(1-D13))</f>
        <v>16.71655555555555</v>
      </c>
      <c r="Z14" s="17" t="s">
        <v>50</v>
      </c>
      <c r="AA14" s="18">
        <f>(19.7*(1-D17)-2.441*D17)*(1/(1-D17))</f>
        <v>18.072666666666667</v>
      </c>
      <c r="AC14" s="18">
        <f>(19.7*(1-D15)-2.441*D15)*(1/(1-D15))</f>
        <v>17.702818181818184</v>
      </c>
    </row>
    <row r="15" spans="2:27" ht="12.75" hidden="1">
      <c r="B15" s="8" t="s">
        <v>120</v>
      </c>
      <c r="C15" s="68"/>
      <c r="D15" s="71">
        <f>Leimikkotiedot!F16</f>
        <v>0.45</v>
      </c>
      <c r="X15" s="17"/>
      <c r="Y15" s="18"/>
      <c r="Z15" s="17"/>
      <c r="AA15" s="18"/>
    </row>
    <row r="16" spans="2:27" ht="12.75" hidden="1">
      <c r="B16" s="8" t="s">
        <v>121</v>
      </c>
      <c r="C16" s="68"/>
      <c r="D16" s="71">
        <f>(1-Leimikkotiedot!F17)*D14</f>
        <v>0.63</v>
      </c>
      <c r="X16" s="17"/>
      <c r="Y16" s="18"/>
      <c r="Z16" s="17"/>
      <c r="AA16" s="18"/>
    </row>
    <row r="17" spans="2:27" ht="12.75" hidden="1">
      <c r="B17" s="8" t="s">
        <v>122</v>
      </c>
      <c r="C17" s="67"/>
      <c r="D17" s="73">
        <f>Leimikkotiedot!F18</f>
        <v>0.4</v>
      </c>
      <c r="X17" s="17"/>
      <c r="Y17" s="18"/>
      <c r="Z17" s="17"/>
      <c r="AA17" s="18"/>
    </row>
    <row r="18" spans="2:27" ht="12.75" hidden="1">
      <c r="B18" s="8" t="s">
        <v>123</v>
      </c>
      <c r="C18" s="67"/>
      <c r="D18" s="73">
        <f>(1-Leimikkotiedot!F19)*D14</f>
        <v>0.5599999999999999</v>
      </c>
      <c r="X18" s="17"/>
      <c r="Y18" s="18"/>
      <c r="Z18" s="17"/>
      <c r="AA18" s="18"/>
    </row>
    <row r="19" spans="2:4" ht="12.75" hidden="1">
      <c r="B19" s="9" t="s">
        <v>29</v>
      </c>
      <c r="C19" s="11"/>
      <c r="D19" s="27">
        <f>Leimikkotiedot!F20</f>
        <v>15</v>
      </c>
    </row>
    <row r="20" spans="2:4" ht="12.75" hidden="1">
      <c r="B20" s="9"/>
      <c r="D20" s="4"/>
    </row>
    <row r="21" spans="2:7" ht="12.75" hidden="1">
      <c r="B21" s="9"/>
      <c r="D21" s="62" t="s">
        <v>106</v>
      </c>
      <c r="E21" s="63" t="s">
        <v>107</v>
      </c>
      <c r="F21" s="63" t="s">
        <v>108</v>
      </c>
      <c r="G21" s="63" t="s">
        <v>109</v>
      </c>
    </row>
    <row r="22" spans="2:7" ht="16.5" hidden="1">
      <c r="B22" s="26" t="s">
        <v>21</v>
      </c>
      <c r="C22" s="11"/>
      <c r="D22" s="27">
        <f>((E5+H5)*184/425+(D5+G5)*94/395+(F5+I5)*85/500)*D14</f>
        <v>111.14676098287416</v>
      </c>
      <c r="E22" s="27">
        <f>(Y4*Y8+Y5*Y13+Y6*Y14)*0.278*D14*0.001</f>
        <v>224.31394103999997</v>
      </c>
      <c r="F22" s="27">
        <f>D22/D6</f>
        <v>55.57338049143708</v>
      </c>
      <c r="G22" s="27">
        <f>E22/D6</f>
        <v>112.15697051999999</v>
      </c>
    </row>
    <row r="23" spans="2:7" ht="16.5" hidden="1">
      <c r="B23" s="26"/>
      <c r="C23" s="11"/>
      <c r="D23" s="64" t="s">
        <v>110</v>
      </c>
      <c r="E23" s="64" t="s">
        <v>111</v>
      </c>
      <c r="F23" s="64" t="s">
        <v>112</v>
      </c>
      <c r="G23" s="64" t="s">
        <v>113</v>
      </c>
    </row>
    <row r="24" spans="2:7" ht="16.5" hidden="1">
      <c r="B24" s="26"/>
      <c r="C24" s="11"/>
      <c r="D24" s="74">
        <f>((E5+H5)*184/425+(D5+G5)*94/395+(F5+I5)*85/500)*(D16)</f>
        <v>100.03208488458675</v>
      </c>
      <c r="E24" s="27">
        <f>(Y4*AC8+Y5*AC13+Y6*AC14)*0.278*(D16)*0.001</f>
        <v>212.64846642327274</v>
      </c>
      <c r="F24" s="74">
        <f>D24/D6</f>
        <v>50.016042442293376</v>
      </c>
      <c r="G24" s="74">
        <f>E24/D6</f>
        <v>106.32423321163637</v>
      </c>
    </row>
    <row r="25" spans="2:11" ht="16.5" hidden="1">
      <c r="B25" s="26"/>
      <c r="C25" s="11"/>
      <c r="D25" s="66" t="s">
        <v>114</v>
      </c>
      <c r="E25" s="65" t="s">
        <v>115</v>
      </c>
      <c r="F25" s="65" t="s">
        <v>116</v>
      </c>
      <c r="G25" s="65" t="s">
        <v>117</v>
      </c>
      <c r="H25" s="44"/>
      <c r="I25" s="44"/>
      <c r="J25" s="44"/>
      <c r="K25" s="44"/>
    </row>
    <row r="26" spans="2:11" ht="16.5" hidden="1">
      <c r="B26" s="26"/>
      <c r="C26" s="11"/>
      <c r="D26" s="27">
        <f>((E5+H5)*184/425+(D5+G5)*94/395+(F5+I5)*85/500)*(D18)</f>
        <v>88.91740878629932</v>
      </c>
      <c r="E26" s="27">
        <f>(Y4*AA8+Y5*AA13+Y6*AA14)*0.278*(D18)*0.001</f>
        <v>192.959195072</v>
      </c>
      <c r="F26" s="27">
        <f>D26/D6</f>
        <v>44.45870439314966</v>
      </c>
      <c r="G26" s="27">
        <f>E26/D6</f>
        <v>96.479597536</v>
      </c>
      <c r="H26" s="44"/>
      <c r="I26" s="44"/>
      <c r="J26" s="44"/>
      <c r="K26" s="44"/>
    </row>
    <row r="27" spans="2:11" ht="16.5" hidden="1">
      <c r="B27" s="26"/>
      <c r="C27" s="11"/>
      <c r="D27" s="44"/>
      <c r="E27" s="44"/>
      <c r="F27" s="44"/>
      <c r="G27" s="44"/>
      <c r="H27" s="44"/>
      <c r="I27" s="44"/>
      <c r="J27" s="44"/>
      <c r="K27" s="44"/>
    </row>
    <row r="28" spans="1:11" s="128" customFormat="1" ht="15.75">
      <c r="A28" s="203"/>
      <c r="B28" s="202"/>
      <c r="C28" s="203"/>
      <c r="D28" s="204"/>
      <c r="E28" s="204"/>
      <c r="F28" s="204"/>
      <c r="G28" s="204"/>
      <c r="H28" s="204"/>
      <c r="I28" s="204"/>
      <c r="J28" s="204"/>
      <c r="K28" s="344"/>
    </row>
    <row r="29" spans="2:11" s="4" customFormat="1" ht="29.25">
      <c r="B29" s="180" t="s">
        <v>235</v>
      </c>
      <c r="C29" s="39"/>
      <c r="D29" s="45"/>
      <c r="E29" s="45"/>
      <c r="F29" s="94"/>
      <c r="G29" s="45"/>
      <c r="H29" s="44"/>
      <c r="I29" s="44"/>
      <c r="J29" s="44"/>
      <c r="K29" s="44"/>
    </row>
    <row r="30" spans="1:11" ht="16.5">
      <c r="A30" s="209"/>
      <c r="B30" s="205"/>
      <c r="C30" s="206"/>
      <c r="D30" s="207"/>
      <c r="E30" s="207"/>
      <c r="F30" s="207"/>
      <c r="G30" s="207"/>
      <c r="H30" s="208"/>
      <c r="I30" s="208"/>
      <c r="J30" s="208"/>
      <c r="K30" s="44"/>
    </row>
    <row r="31" spans="2:11" ht="16.5">
      <c r="B31" s="26"/>
      <c r="C31" s="11"/>
      <c r="D31" s="45"/>
      <c r="E31" s="45"/>
      <c r="F31" s="45"/>
      <c r="G31" s="45"/>
      <c r="H31" s="44"/>
      <c r="I31" s="44"/>
      <c r="J31" s="44"/>
      <c r="K31" s="44"/>
    </row>
    <row r="32" ht="19.5">
      <c r="B32" s="101" t="s">
        <v>100</v>
      </c>
    </row>
    <row r="33" spans="2:8" ht="16.5">
      <c r="B33" s="114"/>
      <c r="C33" s="114"/>
      <c r="D33" s="143" t="s">
        <v>53</v>
      </c>
      <c r="E33" s="143" t="s">
        <v>22</v>
      </c>
      <c r="F33" s="144" t="s">
        <v>54</v>
      </c>
      <c r="H33" s="80"/>
    </row>
    <row r="34" spans="2:24" ht="20.25" thickBot="1">
      <c r="B34" s="116" t="s">
        <v>198</v>
      </c>
      <c r="C34" s="124"/>
      <c r="D34" s="315"/>
      <c r="E34" s="323">
        <v>0</v>
      </c>
      <c r="F34" s="325">
        <f>IF(COUNTA(C34:D34)=1,D34,E34)</f>
        <v>0</v>
      </c>
      <c r="G34" s="4"/>
      <c r="X34" s="5" t="s">
        <v>143</v>
      </c>
    </row>
    <row r="35" spans="2:31" ht="21" thickBot="1" thickTop="1">
      <c r="B35" s="119" t="s">
        <v>199</v>
      </c>
      <c r="C35" s="125"/>
      <c r="D35" s="316"/>
      <c r="E35" s="324">
        <f>2/6</f>
        <v>0.3333333333333333</v>
      </c>
      <c r="F35" s="326">
        <f>IF(COUNTA(C35:D35)=1,D35,E35)</f>
        <v>0.3333333333333333</v>
      </c>
      <c r="G35" s="4"/>
      <c r="X35" s="270" t="s">
        <v>99</v>
      </c>
      <c r="Y35" s="89" t="s">
        <v>147</v>
      </c>
      <c r="Z35" s="89" t="s">
        <v>148</v>
      </c>
      <c r="AA35" s="89" t="s">
        <v>149</v>
      </c>
      <c r="AB35" s="270" t="s">
        <v>150</v>
      </c>
      <c r="AC35" s="92" t="s">
        <v>144</v>
      </c>
      <c r="AD35" s="92" t="s">
        <v>149</v>
      </c>
      <c r="AE35" s="271" t="s">
        <v>150</v>
      </c>
    </row>
    <row r="36" spans="2:31" ht="21" thickBot="1" thickTop="1">
      <c r="B36" s="119" t="s">
        <v>200</v>
      </c>
      <c r="C36" s="125"/>
      <c r="D36" s="316"/>
      <c r="E36" s="324">
        <v>3</v>
      </c>
      <c r="F36" s="326">
        <f>IF(COUNTA(C36:D36)=1,D36,E36)</f>
        <v>3</v>
      </c>
      <c r="G36" s="4"/>
      <c r="W36" s="5" t="s">
        <v>145</v>
      </c>
      <c r="X36" s="87">
        <f>F34+F35+F37+F54+F68</f>
        <v>13.161087665109841</v>
      </c>
      <c r="Y36" s="88">
        <f>POWER(1+Leimikkotiedot!F23,Z36)</f>
        <v>1.0245758393924287</v>
      </c>
      <c r="Z36" s="89">
        <f>Leimikkotiedot!F22/12</f>
        <v>0.4166666666666667</v>
      </c>
      <c r="AA36" s="90">
        <f>X36*Y36</f>
        <v>13.484532441797255</v>
      </c>
      <c r="AB36" s="90">
        <f>AA36-X36</f>
        <v>0.32344477668741334</v>
      </c>
      <c r="AC36" s="83">
        <f>F34+F35+F37+H54+H68</f>
        <v>12.668340610823085</v>
      </c>
      <c r="AD36" s="84">
        <f>AC36*Y36</f>
        <v>12.979675715043255</v>
      </c>
      <c r="AE36" s="84">
        <f>AD36-AC36</f>
        <v>0.31133510422016997</v>
      </c>
    </row>
    <row r="37" spans="2:31" ht="21" thickBot="1" thickTop="1">
      <c r="B37" s="145" t="s">
        <v>201</v>
      </c>
      <c r="C37" s="125"/>
      <c r="D37" s="316"/>
      <c r="E37" s="324">
        <v>0</v>
      </c>
      <c r="F37" s="326">
        <f>IF(COUNTA(C37:D37)=1,D37,E37)</f>
        <v>0</v>
      </c>
      <c r="G37" s="31"/>
      <c r="W37" s="17" t="s">
        <v>146</v>
      </c>
      <c r="X37" s="87">
        <f>F34+F35+F37+F55+F68</f>
        <v>16.495341550130878</v>
      </c>
      <c r="Y37" s="88">
        <f>POWER(1+Leimikkotiedot!F23,Z36)</f>
        <v>1.0245758393924287</v>
      </c>
      <c r="Z37" s="89">
        <f>Leimikkotiedot!F22/12</f>
        <v>0.4166666666666667</v>
      </c>
      <c r="AA37" s="90">
        <f>Y36*X37</f>
        <v>16.900728414790148</v>
      </c>
      <c r="AB37" s="90">
        <f>AA37-X37</f>
        <v>0.40538686465927043</v>
      </c>
      <c r="AC37" s="83">
        <f>F34+F35+F37+H55+H68</f>
        <v>15.664550589188238</v>
      </c>
      <c r="AD37" s="84">
        <f>AC37*Y36</f>
        <v>16.0495200686227</v>
      </c>
      <c r="AE37" s="84">
        <f>AD37-AC37</f>
        <v>0.3849694794344636</v>
      </c>
    </row>
    <row r="38" spans="2:7" ht="15.75" thickTop="1">
      <c r="B38" s="134"/>
      <c r="C38" s="51"/>
      <c r="D38" s="32"/>
      <c r="E38" s="32"/>
      <c r="F38" s="33"/>
      <c r="G38" s="31"/>
    </row>
    <row r="39" spans="2:9" ht="16.5">
      <c r="B39" s="21"/>
      <c r="D39" s="150" t="s">
        <v>192</v>
      </c>
      <c r="E39" s="150" t="s">
        <v>195</v>
      </c>
      <c r="F39" s="151" t="s">
        <v>193</v>
      </c>
      <c r="G39" s="151" t="s">
        <v>202</v>
      </c>
      <c r="H39" s="152" t="s">
        <v>194</v>
      </c>
      <c r="I39" s="153" t="s">
        <v>197</v>
      </c>
    </row>
    <row r="40" spans="2:9" s="4" customFormat="1" ht="19.5">
      <c r="B40" s="158" t="s">
        <v>174</v>
      </c>
      <c r="D40" s="147">
        <f>F34+F35+F36</f>
        <v>3.3333333333333335</v>
      </c>
      <c r="E40" s="147">
        <f>D40*(D22/E22)</f>
        <v>1.6516548260822588</v>
      </c>
      <c r="F40" s="148">
        <f>F34+((F35)*(D14/D16))+F36+F37</f>
        <v>3.3703703703703702</v>
      </c>
      <c r="G40" s="148">
        <f>F40*(D24/E24)</f>
        <v>1.5854578246066628</v>
      </c>
      <c r="H40" s="149">
        <f>(F35)*(D14/D18)+F34+F36+F37</f>
        <v>3.4166666666666665</v>
      </c>
      <c r="I40" s="149">
        <f>H40*(D26/E26)</f>
        <v>1.5744320791406885</v>
      </c>
    </row>
    <row r="41" spans="1:10" s="130" customFormat="1" ht="15">
      <c r="A41" s="210"/>
      <c r="B41" s="210"/>
      <c r="C41" s="210"/>
      <c r="D41" s="210"/>
      <c r="E41" s="210"/>
      <c r="F41" s="210"/>
      <c r="G41" s="210"/>
      <c r="H41" s="210"/>
      <c r="I41" s="210"/>
      <c r="J41" s="210"/>
    </row>
    <row r="42" s="4" customFormat="1" ht="12.75"/>
    <row r="43" ht="19.5">
      <c r="B43" s="101" t="s">
        <v>11</v>
      </c>
    </row>
    <row r="44" spans="2:6" ht="16.5">
      <c r="B44" s="114"/>
      <c r="C44" s="114"/>
      <c r="D44" s="143" t="s">
        <v>53</v>
      </c>
      <c r="E44" s="143" t="s">
        <v>22</v>
      </c>
      <c r="F44" s="144" t="s">
        <v>54</v>
      </c>
    </row>
    <row r="45" spans="2:8" ht="20.25" thickBot="1">
      <c r="B45" s="163" t="s">
        <v>12</v>
      </c>
      <c r="C45" s="164"/>
      <c r="D45" s="341"/>
      <c r="E45" s="319">
        <v>7.8</v>
      </c>
      <c r="F45" s="325">
        <f aca="true" t="shared" si="0" ref="F45:F51">IF(COUNTA(C45:D45)=1,D45,E45)</f>
        <v>7.8</v>
      </c>
      <c r="G45" s="4"/>
      <c r="H45" s="34"/>
    </row>
    <row r="46" spans="2:8" ht="21" thickBot="1" thickTop="1">
      <c r="B46" s="238" t="s">
        <v>218</v>
      </c>
      <c r="C46" s="165"/>
      <c r="D46" s="342"/>
      <c r="E46" s="320">
        <v>1.2</v>
      </c>
      <c r="F46" s="327">
        <f t="shared" si="0"/>
        <v>1.2</v>
      </c>
      <c r="G46" s="4"/>
      <c r="H46" s="34"/>
    </row>
    <row r="47" spans="2:9" ht="21" thickBot="1" thickTop="1">
      <c r="B47" s="119" t="s">
        <v>203</v>
      </c>
      <c r="C47" s="145"/>
      <c r="D47" s="343"/>
      <c r="E47" s="321">
        <v>60</v>
      </c>
      <c r="F47" s="278">
        <f t="shared" si="0"/>
        <v>60</v>
      </c>
      <c r="G47" s="4"/>
      <c r="I47" s="39"/>
    </row>
    <row r="48" spans="2:7" ht="21" thickBot="1" thickTop="1">
      <c r="B48" s="145" t="s">
        <v>13</v>
      </c>
      <c r="C48" s="145"/>
      <c r="D48" s="343"/>
      <c r="E48" s="281">
        <v>4.7</v>
      </c>
      <c r="F48" s="326">
        <f t="shared" si="0"/>
        <v>4.7</v>
      </c>
      <c r="G48" s="4"/>
    </row>
    <row r="49" spans="2:7" ht="21" thickBot="1" thickTop="1">
      <c r="B49" s="145" t="s">
        <v>219</v>
      </c>
      <c r="C49" s="145"/>
      <c r="D49" s="343"/>
      <c r="E49" s="322">
        <v>1.3</v>
      </c>
      <c r="F49" s="328">
        <f t="shared" si="0"/>
        <v>1.3</v>
      </c>
      <c r="G49" s="4"/>
    </row>
    <row r="50" spans="2:26" ht="21" thickBot="1" thickTop="1">
      <c r="B50" s="119" t="s">
        <v>204</v>
      </c>
      <c r="C50" s="145"/>
      <c r="D50" s="343"/>
      <c r="E50" s="321">
        <v>45</v>
      </c>
      <c r="F50" s="278">
        <f t="shared" si="0"/>
        <v>45</v>
      </c>
      <c r="G50" s="4"/>
      <c r="W50" s="5" t="s">
        <v>165</v>
      </c>
      <c r="X50" s="61" t="s">
        <v>161</v>
      </c>
      <c r="Y50" s="61" t="s">
        <v>161</v>
      </c>
      <c r="Z50" s="5" t="s">
        <v>162</v>
      </c>
    </row>
    <row r="51" spans="2:26" ht="21" thickBot="1" thickTop="1">
      <c r="B51" s="122" t="s">
        <v>213</v>
      </c>
      <c r="C51" s="125"/>
      <c r="D51" s="343"/>
      <c r="E51" s="321">
        <v>45</v>
      </c>
      <c r="F51" s="278">
        <f t="shared" si="0"/>
        <v>45</v>
      </c>
      <c r="G51" s="4"/>
      <c r="V51" s="18"/>
      <c r="W51" s="95">
        <f>0.29+0.12*LN(0.06*X51)</f>
        <v>0.20686083401899258</v>
      </c>
      <c r="X51" s="78">
        <f>(D22/D6)/(100/D19)</f>
        <v>8.336007073715562</v>
      </c>
      <c r="Y51" s="78">
        <f>(D26/D6)/(100/D19)</f>
        <v>6.668805658972449</v>
      </c>
      <c r="Z51" s="5">
        <f>38/50</f>
        <v>0.76</v>
      </c>
    </row>
    <row r="52" spans="2:7" ht="13.5" thickTop="1">
      <c r="B52" s="17"/>
      <c r="D52" s="4"/>
      <c r="E52" s="4"/>
      <c r="F52" s="4"/>
      <c r="G52" s="4"/>
    </row>
    <row r="53" spans="4:28" ht="16.5">
      <c r="D53" s="150" t="s">
        <v>192</v>
      </c>
      <c r="E53" s="150" t="s">
        <v>195</v>
      </c>
      <c r="F53" s="151" t="s">
        <v>193</v>
      </c>
      <c r="G53" s="151" t="s">
        <v>202</v>
      </c>
      <c r="H53" s="152" t="s">
        <v>194</v>
      </c>
      <c r="I53" s="153" t="s">
        <v>197</v>
      </c>
      <c r="W53" s="5" t="s">
        <v>32</v>
      </c>
      <c r="X53" s="13" t="s">
        <v>33</v>
      </c>
      <c r="Y53" s="35" t="s">
        <v>33</v>
      </c>
      <c r="Z53" s="5" t="s">
        <v>34</v>
      </c>
      <c r="AA53" s="5" t="s">
        <v>35</v>
      </c>
      <c r="AB53" s="5" t="s">
        <v>36</v>
      </c>
    </row>
    <row r="54" spans="2:28" ht="19.5">
      <c r="B54" s="157" t="s">
        <v>23</v>
      </c>
      <c r="C54" s="156"/>
      <c r="D54" s="147">
        <f>(((W54+X54+Z54+AA54+AB54)*F46)/60)*F47+(F51/D22)</f>
        <v>6.346520090847445</v>
      </c>
      <c r="E54" s="147">
        <f>D54*(D22/E22)</f>
        <v>3.1446781610628594</v>
      </c>
      <c r="F54" s="247">
        <f>D54*(D14/D16)</f>
        <v>7.0516889898304935</v>
      </c>
      <c r="G54" s="247">
        <f>F54*(D24/E24)</f>
        <v>3.3171889902387264</v>
      </c>
      <c r="H54" s="149">
        <f>(((W54+Y54+Z54+AA54+AB54)*F46)/60)*F47+(F51/D26)</f>
        <v>6.5589419355437375</v>
      </c>
      <c r="I54" s="149">
        <f>H54*(D26/E26)</f>
        <v>3.0224220259144916</v>
      </c>
      <c r="W54" s="36">
        <f>0.6+(0.059-0.78*LN(W51))</f>
        <v>1.8880530287644892</v>
      </c>
      <c r="X54" s="37">
        <f>0.039/(0.06*X51)+0.25+2.44/X51</f>
        <v>0.6206810674073374</v>
      </c>
      <c r="Y54" s="38">
        <f>0.039/(0.06*Y51)+0.25+2.44/Y51</f>
        <v>0.7133513342591717</v>
      </c>
      <c r="Z54" s="36">
        <f>(0.5+0.018*(2*D7*0.53))/F45</f>
        <v>0.6756410256410256</v>
      </c>
      <c r="AA54" s="36">
        <f>(0.87+0.019*(2*D7*0.47))/(F45*Z51)</f>
        <v>0.899966261808367</v>
      </c>
      <c r="AB54" s="36">
        <f>0.2+(0.28-0.4*LN(0.38))</f>
        <v>0.8670336105046823</v>
      </c>
    </row>
    <row r="55" spans="2:28" s="4" customFormat="1" ht="19.5">
      <c r="B55" s="158" t="s">
        <v>24</v>
      </c>
      <c r="C55" s="159"/>
      <c r="D55" s="147">
        <f>(((W55+X55+Z55+AA55+AB55)*F49)/60)*F50</f>
        <v>9.347348587366376</v>
      </c>
      <c r="E55" s="147">
        <f>D55*(D22/E22)</f>
        <v>4.631578021619058</v>
      </c>
      <c r="F55" s="148">
        <f>D55*(D14/D16)</f>
        <v>10.385942874851528</v>
      </c>
      <c r="G55" s="148">
        <f>F55*(D24/E24)</f>
        <v>4.885657238626172</v>
      </c>
      <c r="H55" s="149">
        <f>(((W55+Y55+Z55+AA55+AB55)*F49)/60)*F50</f>
        <v>9.55515191390889</v>
      </c>
      <c r="I55" s="149">
        <f>H55*(D26/E26)</f>
        <v>4.403103715410938</v>
      </c>
      <c r="W55" s="160">
        <f>1.63+(-1.3299-2.1841*LN(W51))</f>
        <v>3.7416060514416927</v>
      </c>
      <c r="X55" s="161">
        <f>0.28/(0.06*X51)+0.25+2.44/X51</f>
        <v>1.1025264678667135</v>
      </c>
      <c r="Y55" s="162">
        <f>0.28/(0.06*Y51)+0.25+2.44/Y51</f>
        <v>1.315658084833392</v>
      </c>
      <c r="Z55" s="160">
        <f>(0.5+0.018*(2*D7*0.53))/F48</f>
        <v>1.1212765957446806</v>
      </c>
      <c r="AA55" s="160">
        <f>(0.87+0.019*(2*D7*0.47))/(F48*Z51)</f>
        <v>1.4935610302351623</v>
      </c>
      <c r="AB55" s="160">
        <f>0.33+(-0.034-1.48*LN(0.29))</f>
        <v>2.1280540468823936</v>
      </c>
    </row>
    <row r="56" spans="1:10" s="130" customFormat="1" ht="15">
      <c r="A56" s="210"/>
      <c r="B56" s="210"/>
      <c r="C56" s="210"/>
      <c r="D56" s="210"/>
      <c r="E56" s="210"/>
      <c r="F56" s="210"/>
      <c r="G56" s="210"/>
      <c r="H56" s="210"/>
      <c r="I56" s="210"/>
      <c r="J56" s="210"/>
    </row>
    <row r="58" spans="2:20" ht="19.5">
      <c r="B58" s="136" t="s">
        <v>223</v>
      </c>
      <c r="I58" s="57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</row>
    <row r="59" spans="2:20" ht="16.5">
      <c r="B59" s="114"/>
      <c r="C59" s="114"/>
      <c r="D59" s="143" t="s">
        <v>53</v>
      </c>
      <c r="E59" s="143" t="s">
        <v>22</v>
      </c>
      <c r="F59" s="144" t="s">
        <v>54</v>
      </c>
      <c r="J59" s="4"/>
      <c r="K59" s="4"/>
      <c r="L59" s="10"/>
      <c r="M59" s="10"/>
      <c r="N59" s="10"/>
      <c r="O59" s="10"/>
      <c r="P59" s="10"/>
      <c r="Q59" s="10"/>
      <c r="R59" s="4"/>
      <c r="S59" s="4"/>
      <c r="T59" s="4"/>
    </row>
    <row r="60" spans="2:20" ht="20.25" thickBot="1">
      <c r="B60" s="116" t="s">
        <v>64</v>
      </c>
      <c r="C60" s="124"/>
      <c r="D60" s="315"/>
      <c r="E60" s="319">
        <v>30</v>
      </c>
      <c r="F60" s="329">
        <f aca="true" t="shared" si="1" ref="F60:F65">IF(COUNTA(C60:D60)=1,D60,E60)</f>
        <v>30</v>
      </c>
      <c r="G60" s="4"/>
      <c r="I60" s="10"/>
      <c r="J60" s="4"/>
      <c r="K60" s="32"/>
      <c r="L60" s="32"/>
      <c r="M60" s="32"/>
      <c r="N60" s="32"/>
      <c r="O60" s="32"/>
      <c r="P60" s="32"/>
      <c r="Q60" s="32"/>
      <c r="R60" s="4"/>
      <c r="S60" s="4"/>
      <c r="T60" s="4"/>
    </row>
    <row r="61" spans="2:20" ht="21" thickBot="1" thickTop="1">
      <c r="B61" s="119" t="s">
        <v>210</v>
      </c>
      <c r="C61" s="125"/>
      <c r="D61" s="316"/>
      <c r="E61" s="321">
        <v>51</v>
      </c>
      <c r="F61" s="278">
        <f t="shared" si="1"/>
        <v>51</v>
      </c>
      <c r="G61" s="4"/>
      <c r="I61" s="10"/>
      <c r="J61" s="4"/>
      <c r="K61" s="32"/>
      <c r="L61" s="32"/>
      <c r="M61" s="32"/>
      <c r="N61" s="32"/>
      <c r="O61" s="32"/>
      <c r="P61" s="32"/>
      <c r="Q61" s="32"/>
      <c r="R61" s="4"/>
      <c r="S61" s="4"/>
      <c r="T61" s="4"/>
    </row>
    <row r="62" spans="2:20" ht="21" thickBot="1" thickTop="1">
      <c r="B62" s="119" t="s">
        <v>211</v>
      </c>
      <c r="C62" s="125"/>
      <c r="D62" s="316"/>
      <c r="E62" s="321">
        <v>77</v>
      </c>
      <c r="F62" s="278">
        <f t="shared" si="1"/>
        <v>77</v>
      </c>
      <c r="G62" s="4"/>
      <c r="I62" s="10"/>
      <c r="J62" s="4"/>
      <c r="K62" s="32"/>
      <c r="L62" s="32"/>
      <c r="M62" s="32"/>
      <c r="N62" s="32"/>
      <c r="O62" s="32"/>
      <c r="P62" s="32"/>
      <c r="Q62" s="32"/>
      <c r="R62" s="4"/>
      <c r="S62" s="4"/>
      <c r="T62" s="4"/>
    </row>
    <row r="63" spans="2:20" ht="21" thickBot="1" thickTop="1">
      <c r="B63" s="122" t="s">
        <v>63</v>
      </c>
      <c r="C63" s="125"/>
      <c r="D63" s="316"/>
      <c r="E63" s="281">
        <v>1.7</v>
      </c>
      <c r="F63" s="328">
        <f t="shared" si="1"/>
        <v>1.7</v>
      </c>
      <c r="G63" s="4"/>
      <c r="I63" s="10"/>
      <c r="J63" s="4"/>
      <c r="K63" s="32"/>
      <c r="L63" s="32"/>
      <c r="M63" s="32"/>
      <c r="N63" s="32"/>
      <c r="O63" s="32"/>
      <c r="P63" s="32"/>
      <c r="Q63" s="32"/>
      <c r="R63" s="4"/>
      <c r="S63" s="4"/>
      <c r="T63" s="4"/>
    </row>
    <row r="64" spans="2:20" ht="21" thickBot="1" thickTop="1">
      <c r="B64" s="119" t="s">
        <v>18</v>
      </c>
      <c r="C64" s="125"/>
      <c r="D64" s="316"/>
      <c r="E64" s="324">
        <v>0.5</v>
      </c>
      <c r="F64" s="326">
        <f t="shared" si="1"/>
        <v>0.5</v>
      </c>
      <c r="G64" s="4"/>
      <c r="I64" s="10"/>
      <c r="J64" s="4"/>
      <c r="K64" s="32"/>
      <c r="L64" s="32"/>
      <c r="M64" s="32"/>
      <c r="N64" s="32"/>
      <c r="O64" s="32"/>
      <c r="P64" s="32"/>
      <c r="Q64" s="32"/>
      <c r="R64" s="4"/>
      <c r="S64" s="4"/>
      <c r="T64" s="4"/>
    </row>
    <row r="65" spans="2:20" ht="21" thickBot="1" thickTop="1">
      <c r="B65" s="119" t="s">
        <v>19</v>
      </c>
      <c r="C65" s="125"/>
      <c r="D65" s="316"/>
      <c r="E65" s="324">
        <v>0.3</v>
      </c>
      <c r="F65" s="326">
        <f t="shared" si="1"/>
        <v>0.3</v>
      </c>
      <c r="G65" s="4"/>
      <c r="I65" s="10"/>
      <c r="J65" s="4"/>
      <c r="K65" s="32"/>
      <c r="L65" s="32"/>
      <c r="M65" s="32"/>
      <c r="N65" s="32"/>
      <c r="O65" s="32"/>
      <c r="P65" s="32"/>
      <c r="Q65" s="32"/>
      <c r="R65" s="4"/>
      <c r="S65" s="4"/>
      <c r="T65" s="4"/>
    </row>
    <row r="66" spans="2:20" ht="13.5" thickTop="1">
      <c r="B66" s="17"/>
      <c r="D66" s="4"/>
      <c r="E66" s="4"/>
      <c r="F66" s="4"/>
      <c r="G66" s="4"/>
      <c r="I66" s="58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</row>
    <row r="67" spans="4:30" ht="16.5">
      <c r="D67" s="150" t="s">
        <v>192</v>
      </c>
      <c r="E67" s="150" t="s">
        <v>195</v>
      </c>
      <c r="F67" s="151" t="s">
        <v>193</v>
      </c>
      <c r="G67" s="151" t="s">
        <v>202</v>
      </c>
      <c r="H67" s="152" t="s">
        <v>194</v>
      </c>
      <c r="I67" s="153" t="s">
        <v>197</v>
      </c>
      <c r="J67" s="4"/>
      <c r="K67" s="10"/>
      <c r="L67" s="10"/>
      <c r="M67" s="10"/>
      <c r="N67" s="10"/>
      <c r="O67" s="10"/>
      <c r="P67" s="10"/>
      <c r="Q67" s="10"/>
      <c r="R67" s="32"/>
      <c r="S67" s="32"/>
      <c r="T67" s="4"/>
      <c r="AA67" s="5" t="s">
        <v>59</v>
      </c>
      <c r="AB67" s="5" t="s">
        <v>60</v>
      </c>
      <c r="AC67" s="5" t="s">
        <v>37</v>
      </c>
      <c r="AD67" s="5" t="s">
        <v>61</v>
      </c>
    </row>
    <row r="68" spans="2:30" s="4" customFormat="1" ht="20.25">
      <c r="B68" s="158" t="s">
        <v>224</v>
      </c>
      <c r="D68" s="147">
        <f>((AA68+AB68)*F62+(AC68+AD68)*F61)/F60</f>
        <v>5.776065341946015</v>
      </c>
      <c r="E68" s="147">
        <f>D68*(D22/E22)</f>
        <v>2.862019859337482</v>
      </c>
      <c r="F68" s="148">
        <f>H68</f>
        <v>5.776065341946015</v>
      </c>
      <c r="G68" s="146">
        <f>F68*(D24/E24)</f>
        <v>2.717122151421396</v>
      </c>
      <c r="H68" s="149">
        <f>((AA68+AB68)*F62+(AC68+AD68)*F61)/F60</f>
        <v>5.776065341946015</v>
      </c>
      <c r="I68" s="149">
        <f>H68*(D26/E26)</f>
        <v>2.6616651411431813</v>
      </c>
      <c r="K68" s="46"/>
      <c r="L68" s="46"/>
      <c r="M68" s="46"/>
      <c r="N68" s="46"/>
      <c r="O68" s="46"/>
      <c r="P68" s="46"/>
      <c r="Q68" s="46"/>
      <c r="R68" s="46"/>
      <c r="S68" s="46"/>
      <c r="W68" s="191"/>
      <c r="X68" s="191"/>
      <c r="Y68" s="191"/>
      <c r="Z68" s="191"/>
      <c r="AA68" s="191">
        <f>D9/(5.7917+30.63*LOG(D9))</f>
        <v>0.27456159377513956</v>
      </c>
      <c r="AB68" s="191">
        <f>D9/(-0.44591+31.695*LOG(D9))</f>
        <v>0.32000931867135973</v>
      </c>
      <c r="AC68" s="191">
        <f>F63</f>
        <v>1.7</v>
      </c>
      <c r="AD68" s="191">
        <f>F64+F65</f>
        <v>0.8</v>
      </c>
    </row>
    <row r="69" spans="1:10" s="130" customFormat="1" ht="15">
      <c r="A69" s="210"/>
      <c r="B69" s="210"/>
      <c r="C69" s="210"/>
      <c r="D69" s="210"/>
      <c r="E69" s="210"/>
      <c r="F69" s="210"/>
      <c r="G69" s="210"/>
      <c r="H69" s="210"/>
      <c r="I69" s="210"/>
      <c r="J69" s="210"/>
    </row>
    <row r="70" s="130" customFormat="1" ht="15"/>
    <row r="71" spans="2:20" ht="19.5">
      <c r="B71" s="166" t="s">
        <v>225</v>
      </c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</row>
    <row r="72" spans="2:20" ht="16.5">
      <c r="B72" s="114"/>
      <c r="C72" s="114"/>
      <c r="D72" s="143" t="s">
        <v>53</v>
      </c>
      <c r="E72" s="143" t="s">
        <v>22</v>
      </c>
      <c r="F72" s="144" t="s">
        <v>54</v>
      </c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</row>
    <row r="73" spans="2:20" ht="20.25" thickBot="1">
      <c r="B73" s="163" t="s">
        <v>226</v>
      </c>
      <c r="C73" s="196"/>
      <c r="D73" s="315"/>
      <c r="E73" s="323">
        <v>3</v>
      </c>
      <c r="F73" s="325">
        <f>IF(COUNTA(C73:D73)=1,D73,E73)</f>
        <v>3</v>
      </c>
      <c r="G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</row>
    <row r="74" spans="2:20" ht="21" thickBot="1" thickTop="1">
      <c r="B74" s="145" t="s">
        <v>93</v>
      </c>
      <c r="C74" s="265"/>
      <c r="D74" s="318"/>
      <c r="E74" s="280">
        <v>0.25</v>
      </c>
      <c r="F74" s="277">
        <f>IF(COUNTA(C74:D74)=1,D74,E74)</f>
        <v>0.25</v>
      </c>
      <c r="G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</row>
    <row r="75" spans="2:20" ht="13.5" thickTop="1">
      <c r="B75" s="21"/>
      <c r="D75" s="39"/>
      <c r="E75" s="39"/>
      <c r="F75" s="4"/>
      <c r="G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</row>
    <row r="76" spans="4:20" ht="16.5">
      <c r="D76" s="150" t="s">
        <v>192</v>
      </c>
      <c r="E76" s="150" t="s">
        <v>195</v>
      </c>
      <c r="F76" s="151" t="s">
        <v>193</v>
      </c>
      <c r="G76" s="151" t="s">
        <v>202</v>
      </c>
      <c r="H76" s="152" t="s">
        <v>194</v>
      </c>
      <c r="I76" s="153" t="s">
        <v>197</v>
      </c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</row>
    <row r="77" spans="2:9" s="4" customFormat="1" ht="19.5">
      <c r="B77" s="181" t="s">
        <v>25</v>
      </c>
      <c r="D77" s="147">
        <f>F73</f>
        <v>3</v>
      </c>
      <c r="E77" s="147">
        <f>D77*(D22/E22)</f>
        <v>1.486489343474033</v>
      </c>
      <c r="F77" s="148">
        <f>H77*(1+F74)</f>
        <v>4.6875</v>
      </c>
      <c r="G77" s="148">
        <f>F77*(D24/E24)</f>
        <v>2.2050495156789096</v>
      </c>
      <c r="H77" s="149">
        <f>F73*(1+F74)</f>
        <v>3.75</v>
      </c>
      <c r="I77" s="149">
        <f>H77*(D26/E26)</f>
        <v>1.728035208812951</v>
      </c>
    </row>
    <row r="78" spans="1:10" s="4" customFormat="1" ht="16.5" customHeight="1">
      <c r="A78" s="212"/>
      <c r="B78" s="251"/>
      <c r="C78" s="212"/>
      <c r="D78" s="252"/>
      <c r="E78" s="252"/>
      <c r="F78" s="253"/>
      <c r="G78" s="253"/>
      <c r="H78" s="254"/>
      <c r="I78" s="254"/>
      <c r="J78" s="212"/>
    </row>
    <row r="79" spans="2:9" s="4" customFormat="1" ht="16.5" customHeight="1">
      <c r="B79" s="181"/>
      <c r="D79" s="147"/>
      <c r="E79" s="147"/>
      <c r="F79" s="148"/>
      <c r="G79" s="148"/>
      <c r="H79" s="149"/>
      <c r="I79" s="149"/>
    </row>
    <row r="80" spans="2:26" ht="19.5">
      <c r="B80" s="156" t="s">
        <v>255</v>
      </c>
      <c r="C80" s="156"/>
      <c r="D80" s="264"/>
      <c r="E80" s="264"/>
      <c r="F80" s="264"/>
      <c r="G80" s="264"/>
      <c r="I80" s="5"/>
      <c r="W80" s="255" t="s">
        <v>59</v>
      </c>
      <c r="X80" s="255" t="s">
        <v>60</v>
      </c>
      <c r="Y80" s="256" t="s">
        <v>37</v>
      </c>
      <c r="Z80" s="256" t="s">
        <v>61</v>
      </c>
    </row>
    <row r="81" spans="2:26" ht="13.5" customHeight="1">
      <c r="B81" s="140"/>
      <c r="C81" s="101"/>
      <c r="D81" s="257"/>
      <c r="E81" s="257"/>
      <c r="F81" s="258"/>
      <c r="G81" s="258"/>
      <c r="I81" s="5"/>
      <c r="W81" s="255"/>
      <c r="X81" s="255"/>
      <c r="Y81" s="256"/>
      <c r="Z81" s="256"/>
    </row>
    <row r="82" spans="2:26" ht="16.5">
      <c r="B82" s="114"/>
      <c r="C82" s="114"/>
      <c r="D82" s="143" t="s">
        <v>53</v>
      </c>
      <c r="E82" s="143" t="s">
        <v>22</v>
      </c>
      <c r="F82" s="144" t="s">
        <v>54</v>
      </c>
      <c r="I82" s="5"/>
      <c r="W82" s="167">
        <f>D10/(5.7917+30.63*LOG(D10))</f>
        <v>0.27456159377513956</v>
      </c>
      <c r="X82" s="167">
        <f>D10/(-0.44591+31.695*LOG(D10))</f>
        <v>0.32000931867135973</v>
      </c>
      <c r="Y82" s="95">
        <f>F85/F84</f>
        <v>0.36666666666666664</v>
      </c>
      <c r="Z82" s="259">
        <f>F88</f>
        <v>0.6</v>
      </c>
    </row>
    <row r="83" spans="2:25" ht="20.25" thickBot="1">
      <c r="B83" s="260" t="s">
        <v>253</v>
      </c>
      <c r="C83" s="260"/>
      <c r="D83" s="353"/>
      <c r="E83" s="355">
        <v>0.8</v>
      </c>
      <c r="F83" s="345">
        <f aca="true" t="shared" si="2" ref="F83:F88">IF(COUNTA(D83:D83)=1,D83,E83)</f>
        <v>0.8</v>
      </c>
      <c r="I83" s="5"/>
      <c r="W83" s="61"/>
      <c r="X83" s="61"/>
      <c r="Y83" s="61"/>
    </row>
    <row r="84" spans="2:25" ht="21" thickBot="1" thickTop="1">
      <c r="B84" s="261" t="s">
        <v>227</v>
      </c>
      <c r="C84" s="261"/>
      <c r="D84" s="354"/>
      <c r="E84" s="282">
        <v>300</v>
      </c>
      <c r="F84" s="346">
        <f t="shared" si="2"/>
        <v>300</v>
      </c>
      <c r="I84" s="5"/>
      <c r="W84" s="61"/>
      <c r="X84" s="61"/>
      <c r="Y84" s="61"/>
    </row>
    <row r="85" spans="2:25" ht="21" thickBot="1" thickTop="1">
      <c r="B85" s="260" t="s">
        <v>228</v>
      </c>
      <c r="C85" s="261"/>
      <c r="D85" s="354"/>
      <c r="E85" s="282">
        <v>110</v>
      </c>
      <c r="F85" s="346">
        <f t="shared" si="2"/>
        <v>110</v>
      </c>
      <c r="I85" s="5"/>
      <c r="W85" s="61"/>
      <c r="X85" s="61"/>
      <c r="Y85" s="61"/>
    </row>
    <row r="86" spans="2:25" ht="21" thickBot="1" thickTop="1">
      <c r="B86" s="261" t="s">
        <v>229</v>
      </c>
      <c r="C86" s="261"/>
      <c r="D86" s="354"/>
      <c r="E86" s="282">
        <v>47</v>
      </c>
      <c r="F86" s="346">
        <f t="shared" si="2"/>
        <v>47</v>
      </c>
      <c r="I86" s="5"/>
      <c r="W86" s="61"/>
      <c r="X86" s="61"/>
      <c r="Y86" s="61"/>
    </row>
    <row r="87" spans="2:25" ht="21" thickBot="1" thickTop="1">
      <c r="B87" s="261" t="s">
        <v>230</v>
      </c>
      <c r="C87" s="261"/>
      <c r="D87" s="354"/>
      <c r="E87" s="282">
        <v>72</v>
      </c>
      <c r="F87" s="346">
        <f t="shared" si="2"/>
        <v>72</v>
      </c>
      <c r="I87" s="5"/>
      <c r="W87" s="61"/>
      <c r="X87" s="61"/>
      <c r="Y87" s="61"/>
    </row>
    <row r="88" spans="2:25" ht="21" thickBot="1" thickTop="1">
      <c r="B88" s="261" t="s">
        <v>231</v>
      </c>
      <c r="C88" s="261"/>
      <c r="D88" s="288"/>
      <c r="E88" s="355">
        <v>0.6</v>
      </c>
      <c r="F88" s="345">
        <f t="shared" si="2"/>
        <v>0.6</v>
      </c>
      <c r="I88" s="5"/>
      <c r="W88" s="61"/>
      <c r="X88" s="61"/>
      <c r="Y88" s="61"/>
    </row>
    <row r="89" spans="2:25" ht="20.25" thickTop="1">
      <c r="B89" s="170"/>
      <c r="C89" s="170"/>
      <c r="D89" s="4"/>
      <c r="E89" s="262"/>
      <c r="F89" s="263"/>
      <c r="G89" s="263"/>
      <c r="I89" s="5"/>
      <c r="W89" s="61"/>
      <c r="X89" s="61"/>
      <c r="Y89" s="61"/>
    </row>
    <row r="90" spans="2:25" ht="19.5">
      <c r="B90" s="170"/>
      <c r="C90" s="170"/>
      <c r="D90" s="266" t="s">
        <v>192</v>
      </c>
      <c r="E90" s="266" t="s">
        <v>195</v>
      </c>
      <c r="F90" s="267" t="s">
        <v>193</v>
      </c>
      <c r="G90" s="267" t="s">
        <v>202</v>
      </c>
      <c r="H90" s="268" t="s">
        <v>194</v>
      </c>
      <c r="I90" s="269" t="s">
        <v>197</v>
      </c>
      <c r="W90" s="61"/>
      <c r="X90" s="61"/>
      <c r="Y90" s="61"/>
    </row>
    <row r="91" spans="2:25" ht="19.5">
      <c r="B91" s="170" t="s">
        <v>232</v>
      </c>
      <c r="C91" s="170"/>
      <c r="D91" s="147">
        <f>F83</f>
        <v>0.8</v>
      </c>
      <c r="E91" s="147">
        <f>D91*(Leimikkotiedot!C32/Leimikkotiedot!D32)</f>
        <v>0.3963971582597421</v>
      </c>
      <c r="F91" s="148">
        <f>D91</f>
        <v>0.8</v>
      </c>
      <c r="G91" s="148">
        <f>F91*(Leimikkotiedot!C33/Leimikkotiedot!D33)</f>
        <v>0.3763284506758673</v>
      </c>
      <c r="H91" s="154">
        <f>D91</f>
        <v>0.8</v>
      </c>
      <c r="I91" s="154">
        <f>H91*(Leimikkotiedot!C34/Leimikkotiedot!D34)</f>
        <v>0.36864751121342954</v>
      </c>
      <c r="W91" s="61"/>
      <c r="X91" s="61"/>
      <c r="Y91" s="61"/>
    </row>
    <row r="92" spans="2:30" ht="19.5">
      <c r="B92" s="170" t="s">
        <v>233</v>
      </c>
      <c r="C92" s="170"/>
      <c r="D92" s="147">
        <f>((W82+X82)*F87+(Y82+Z82)*F86)/(F85/2.5)</f>
        <v>2.0055099779427565</v>
      </c>
      <c r="E92" s="147">
        <f>D92*(Leimikkotiedot!C32/Leimikkotiedot!D32)</f>
        <v>0.9937230701475834</v>
      </c>
      <c r="F92" s="148">
        <f>D92</f>
        <v>2.0055099779427565</v>
      </c>
      <c r="G92" s="148">
        <f>F92*(Leimikkotiedot!C33/Leimikkotiedot!D33)</f>
        <v>0.9434130785177378</v>
      </c>
      <c r="H92" s="154">
        <f>D92</f>
        <v>2.0055099779427565</v>
      </c>
      <c r="I92" s="154">
        <f>H92*(Leimikkotiedot!C34/Leimikkotiedot!D34)</f>
        <v>0.9241578276028715</v>
      </c>
      <c r="W92" s="61"/>
      <c r="X92" s="61"/>
      <c r="Y92" s="61"/>
      <c r="AA92" s="167"/>
      <c r="AB92" s="167"/>
      <c r="AC92" s="167"/>
      <c r="AD92" s="167"/>
    </row>
    <row r="93" spans="1:10" s="4" customFormat="1" ht="16.5">
      <c r="A93" s="212"/>
      <c r="B93" s="211"/>
      <c r="C93" s="212"/>
      <c r="D93" s="213"/>
      <c r="E93" s="214"/>
      <c r="F93" s="215"/>
      <c r="G93" s="216"/>
      <c r="H93" s="212"/>
      <c r="I93" s="212"/>
      <c r="J93" s="212"/>
    </row>
    <row r="94" spans="10:20" ht="12.75"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</row>
    <row r="95" spans="2:20" ht="21">
      <c r="B95" s="169" t="s">
        <v>176</v>
      </c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</row>
    <row r="96" spans="4:20" ht="16.5">
      <c r="D96" s="150" t="s">
        <v>192</v>
      </c>
      <c r="E96" s="150" t="s">
        <v>195</v>
      </c>
      <c r="F96" s="151" t="s">
        <v>193</v>
      </c>
      <c r="G96" s="151" t="s">
        <v>202</v>
      </c>
      <c r="H96" s="152" t="s">
        <v>194</v>
      </c>
      <c r="I96" s="153" t="s">
        <v>197</v>
      </c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</row>
    <row r="97" spans="2:9" ht="19.5">
      <c r="B97" s="135" t="s">
        <v>86</v>
      </c>
      <c r="C97" s="135"/>
      <c r="D97" s="147">
        <f>D40+D54+D68+D77+D91+D92</f>
        <v>21.26142874406955</v>
      </c>
      <c r="E97" s="147">
        <f>E40+E54+E68+E77+E91+E92</f>
        <v>10.534962418363959</v>
      </c>
      <c r="F97" s="247">
        <f>F40+F54+F68+F77+AB36+F91+F92</f>
        <v>24.01457945677705</v>
      </c>
      <c r="G97" s="247">
        <f>G40+G54+G68+G77+(AB36*(D24/E24))+G91+G92</f>
        <v>11.29671185075177</v>
      </c>
      <c r="H97" s="149">
        <f>H40+H54+H68+H77+AE36+H91+H92</f>
        <v>22.618519026319348</v>
      </c>
      <c r="I97" s="149">
        <f>I40+I54+I68+I77+(AE36*(D26/E26))+I91+I92</f>
        <v>10.422825932982787</v>
      </c>
    </row>
    <row r="98" spans="2:9" s="4" customFormat="1" ht="19.5">
      <c r="B98" s="104" t="s">
        <v>87</v>
      </c>
      <c r="C98" s="111"/>
      <c r="D98" s="147">
        <f>D40+D55+D68+D77+D91+D92</f>
        <v>24.262257240588482</v>
      </c>
      <c r="E98" s="147">
        <f>E40+E55+E68+E77+E91+E92</f>
        <v>12.021862278920159</v>
      </c>
      <c r="F98" s="148">
        <f>F40+F55+F68+F77+AB37+F91+F92</f>
        <v>27.43077542976994</v>
      </c>
      <c r="G98" s="148">
        <f>G40+G55+G68+G77+(AB37*(D24/E24))+G91+G92</f>
        <v>12.90372652290371</v>
      </c>
      <c r="H98" s="149">
        <f>H40+H55+H68+H77+AE37+H91+H92</f>
        <v>25.688363379898792</v>
      </c>
      <c r="I98" s="149">
        <f>I40+I55+I68+I77+(AE37*(D26/E26))+I91+I92</f>
        <v>11.837439033932366</v>
      </c>
    </row>
    <row r="99" spans="1:10" s="130" customFormat="1" ht="15">
      <c r="A99" s="210"/>
      <c r="B99" s="210"/>
      <c r="C99" s="210"/>
      <c r="D99" s="210"/>
      <c r="E99" s="210"/>
      <c r="F99" s="210"/>
      <c r="G99" s="210"/>
      <c r="H99" s="210"/>
      <c r="I99" s="210"/>
      <c r="J99" s="210"/>
    </row>
  </sheetData>
  <sheetProtection sheet="1" objects="1" scenarios="1"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97"/>
  <sheetViews>
    <sheetView zoomScalePageLayoutView="0" workbookViewId="0" topLeftCell="A71">
      <selection activeCell="G47" sqref="G47"/>
    </sheetView>
  </sheetViews>
  <sheetFormatPr defaultColWidth="13.140625" defaultRowHeight="12.75"/>
  <cols>
    <col min="1" max="1" width="0.71875" style="5" customWidth="1"/>
    <col min="2" max="2" width="13.140625" style="5" customWidth="1"/>
    <col min="3" max="3" width="41.57421875" style="5" customWidth="1"/>
    <col min="4" max="4" width="16.8515625" style="5" bestFit="1" customWidth="1"/>
    <col min="5" max="5" width="19.140625" style="5" bestFit="1" customWidth="1"/>
    <col min="6" max="6" width="21.8515625" style="5" bestFit="1" customWidth="1"/>
    <col min="7" max="7" width="24.8515625" style="5" bestFit="1" customWidth="1"/>
    <col min="8" max="8" width="17.00390625" style="4" bestFit="1" customWidth="1"/>
    <col min="9" max="9" width="19.28125" style="4" bestFit="1" customWidth="1"/>
    <col min="10" max="15" width="13.140625" style="5" customWidth="1"/>
    <col min="16" max="18" width="13.140625" style="5" hidden="1" customWidth="1"/>
    <col min="19" max="19" width="11.57421875" style="5" hidden="1" customWidth="1"/>
    <col min="20" max="23" width="13.140625" style="5" hidden="1" customWidth="1"/>
    <col min="24" max="24" width="20.140625" style="5" hidden="1" customWidth="1"/>
    <col min="25" max="26" width="13.140625" style="5" hidden="1" customWidth="1"/>
    <col min="27" max="27" width="14.421875" style="5" hidden="1" customWidth="1"/>
    <col min="28" max="35" width="13.140625" style="5" hidden="1" customWidth="1"/>
    <col min="36" max="74" width="0" style="5" hidden="1" customWidth="1"/>
    <col min="75" max="16384" width="13.140625" style="5" customWidth="1"/>
  </cols>
  <sheetData>
    <row r="1" ht="20.25" customHeight="1" hidden="1">
      <c r="B1" s="6" t="s">
        <v>31</v>
      </c>
    </row>
    <row r="2" ht="12.75" customHeight="1" hidden="1"/>
    <row r="3" ht="15.75" customHeight="1" hidden="1">
      <c r="B3" s="29" t="s">
        <v>0</v>
      </c>
    </row>
    <row r="4" spans="4:25" ht="12.75" customHeight="1" hidden="1">
      <c r="D4" s="21" t="s">
        <v>1</v>
      </c>
      <c r="E4" s="21" t="s">
        <v>2</v>
      </c>
      <c r="F4" s="21" t="s">
        <v>3</v>
      </c>
      <c r="G4" s="21" t="s">
        <v>4</v>
      </c>
      <c r="H4" s="32" t="s">
        <v>5</v>
      </c>
      <c r="I4" s="32" t="s">
        <v>6</v>
      </c>
      <c r="J4" s="4"/>
      <c r="K4" s="4"/>
      <c r="L4" s="4"/>
      <c r="M4" s="4"/>
      <c r="N4" s="4"/>
      <c r="O4" s="4"/>
      <c r="P4" s="4"/>
      <c r="X4" s="5" t="s">
        <v>43</v>
      </c>
      <c r="Y4" s="16">
        <f>(E5+H5)*184</f>
        <v>55200</v>
      </c>
    </row>
    <row r="5" spans="2:25" ht="12.75" customHeight="1" hidden="1">
      <c r="B5" s="8" t="s">
        <v>10</v>
      </c>
      <c r="D5" s="75">
        <f>Leimikkotiedot!D6</f>
        <v>20</v>
      </c>
      <c r="E5" s="75">
        <f>Leimikkotiedot!E6</f>
        <v>180</v>
      </c>
      <c r="F5" s="75">
        <f>Leimikkotiedot!F6</f>
        <v>20</v>
      </c>
      <c r="G5" s="75">
        <f>Leimikkotiedot!G6</f>
        <v>30</v>
      </c>
      <c r="H5" s="75">
        <f>Leimikkotiedot!H6</f>
        <v>120</v>
      </c>
      <c r="I5" s="75">
        <f>Leimikkotiedot!I6</f>
        <v>80</v>
      </c>
      <c r="J5" s="4"/>
      <c r="K5" s="4"/>
      <c r="L5" s="4"/>
      <c r="M5" s="4"/>
      <c r="N5" s="4"/>
      <c r="O5" s="4"/>
      <c r="P5" s="4"/>
      <c r="X5" s="5" t="s">
        <v>42</v>
      </c>
      <c r="Y5" s="5">
        <f>(D5+G5)*94</f>
        <v>4700</v>
      </c>
    </row>
    <row r="6" spans="2:25" ht="12.75" customHeight="1" hidden="1">
      <c r="B6" s="8" t="s">
        <v>7</v>
      </c>
      <c r="D6" s="75">
        <f>Leimikkotiedot!D7</f>
        <v>2</v>
      </c>
      <c r="J6" s="4"/>
      <c r="K6" s="4"/>
      <c r="L6" s="4"/>
      <c r="M6" s="4"/>
      <c r="N6" s="4"/>
      <c r="O6" s="4"/>
      <c r="P6" s="4"/>
      <c r="X6" s="5" t="s">
        <v>44</v>
      </c>
      <c r="Y6" s="5">
        <f>(F5+I5)*85</f>
        <v>8500</v>
      </c>
    </row>
    <row r="7" spans="2:23" ht="12.75" customHeight="1" hidden="1">
      <c r="B7" s="8" t="s">
        <v>8</v>
      </c>
      <c r="D7" s="75">
        <f>Leimikkotiedot!D8</f>
        <v>250</v>
      </c>
      <c r="V7" s="4"/>
      <c r="W7" s="4"/>
    </row>
    <row r="8" spans="2:29" ht="12.75" customHeight="1" hidden="1">
      <c r="B8" s="9" t="s">
        <v>9</v>
      </c>
      <c r="D8" s="75">
        <f>Leimikkotiedot!D9</f>
        <v>45</v>
      </c>
      <c r="F8" s="44">
        <f>((E5+H5)*184/425)*D12</f>
        <v>90.91764705882352</v>
      </c>
      <c r="G8" s="49">
        <f>F8/D20</f>
        <v>0.8179963703380649</v>
      </c>
      <c r="H8" s="59">
        <f>G8+(G10/2)</f>
        <v>0.8715291943932508</v>
      </c>
      <c r="I8" s="4" t="s">
        <v>71</v>
      </c>
      <c r="X8" s="17" t="s">
        <v>45</v>
      </c>
      <c r="Y8" s="18">
        <f>(19.8*(1-D11)-2.441*D11)*(1/(1-D11))</f>
        <v>16.816555555555556</v>
      </c>
      <c r="Z8" s="17" t="s">
        <v>48</v>
      </c>
      <c r="AA8" s="18">
        <f>(19.7*(1-D15)-2.441*D15)*(1/(1-D15))</f>
        <v>18.072666666666667</v>
      </c>
      <c r="AC8" s="18">
        <f>(19.7*(1-D13)-2.441*D13)*(1/(1-D13))</f>
        <v>17.702818181818184</v>
      </c>
    </row>
    <row r="9" spans="2:29" ht="12.75" customHeight="1" hidden="1">
      <c r="B9" s="9"/>
      <c r="D9" s="32"/>
      <c r="F9" s="44">
        <f>((D5+G5)*94/395)*D12</f>
        <v>8.329113924050633</v>
      </c>
      <c r="G9" s="49">
        <f>F9/D20</f>
        <v>0.07493798155156324</v>
      </c>
      <c r="H9" s="59">
        <f>G9+(G10/2)</f>
        <v>0.12847080560674912</v>
      </c>
      <c r="I9" s="4" t="s">
        <v>42</v>
      </c>
      <c r="X9" s="17"/>
      <c r="Y9" s="18"/>
      <c r="Z9" s="17"/>
      <c r="AA9" s="18"/>
      <c r="AC9" s="18"/>
    </row>
    <row r="10" spans="2:29" ht="12.75" customHeight="1" hidden="1">
      <c r="B10" s="9"/>
      <c r="D10" s="32"/>
      <c r="F10" s="44">
        <f>((F5+I5)*85/500)*D12</f>
        <v>11.899999999999999</v>
      </c>
      <c r="G10" s="49">
        <f>F10/D20</f>
        <v>0.10706564811037173</v>
      </c>
      <c r="X10" s="17"/>
      <c r="Y10" s="18"/>
      <c r="Z10" s="17"/>
      <c r="AA10" s="18"/>
      <c r="AC10" s="18"/>
    </row>
    <row r="11" spans="2:29" ht="12.75" customHeight="1" hidden="1">
      <c r="B11" s="8" t="s">
        <v>118</v>
      </c>
      <c r="C11" s="69"/>
      <c r="D11" s="70">
        <f>Leimikkotiedot!F14</f>
        <v>0.55</v>
      </c>
      <c r="H11" s="5"/>
      <c r="I11" s="5"/>
      <c r="X11" s="17" t="s">
        <v>46</v>
      </c>
      <c r="Y11" s="18">
        <f>(20.5*(1-D11)-2.441*D11)*(1/(1-D11))</f>
        <v>17.516555555555556</v>
      </c>
      <c r="Z11" s="17" t="s">
        <v>49</v>
      </c>
      <c r="AA11" s="18">
        <f>(20.4*(1-D15)-2.441*D15)*(1/(1-D15))</f>
        <v>18.772666666666666</v>
      </c>
      <c r="AC11" s="18">
        <f>(20.4*(1-D13)-2.441*D13)*(1/(1-D13))</f>
        <v>18.402818181818184</v>
      </c>
    </row>
    <row r="12" spans="2:29" ht="12.75" customHeight="1" hidden="1">
      <c r="B12" s="8" t="s">
        <v>119</v>
      </c>
      <c r="C12" s="69"/>
      <c r="D12" s="70">
        <f>Leimikkotiedot!F15</f>
        <v>0.7</v>
      </c>
      <c r="H12" s="5"/>
      <c r="I12" s="5"/>
      <c r="X12" s="17" t="s">
        <v>47</v>
      </c>
      <c r="Y12" s="18">
        <f>(19.7*(1-D11)-2.441*D11)*(1/(1-D11))</f>
        <v>16.71655555555555</v>
      </c>
      <c r="Z12" s="17" t="s">
        <v>50</v>
      </c>
      <c r="AA12" s="18">
        <f>(19.7*(1-D15)-2.441*D15)*(1/(1-D15))</f>
        <v>18.072666666666667</v>
      </c>
      <c r="AC12" s="18">
        <f>(19.7*(1-D13)-2.441*D13)*(1/(1-D13))</f>
        <v>17.702818181818184</v>
      </c>
    </row>
    <row r="13" spans="2:27" ht="12.75" customHeight="1" hidden="1">
      <c r="B13" s="8" t="s">
        <v>120</v>
      </c>
      <c r="C13" s="68"/>
      <c r="D13" s="71">
        <f>F31</f>
        <v>0.45</v>
      </c>
      <c r="H13" s="5"/>
      <c r="I13" s="5"/>
      <c r="X13" s="17"/>
      <c r="Y13" s="18"/>
      <c r="Z13" s="17"/>
      <c r="AA13" s="18"/>
    </row>
    <row r="14" spans="2:27" ht="12.75" customHeight="1" hidden="1">
      <c r="B14" s="8" t="s">
        <v>121</v>
      </c>
      <c r="C14" s="68"/>
      <c r="D14" s="71">
        <f>D12*(1-F32)</f>
        <v>0.6859999999999999</v>
      </c>
      <c r="H14" s="5"/>
      <c r="I14" s="5"/>
      <c r="X14" s="17"/>
      <c r="Y14" s="18"/>
      <c r="Z14" s="17"/>
      <c r="AA14" s="18"/>
    </row>
    <row r="15" spans="2:27" ht="12.75" customHeight="1" hidden="1">
      <c r="B15" s="8" t="s">
        <v>122</v>
      </c>
      <c r="C15" s="67"/>
      <c r="D15" s="73">
        <f>Leimikkotiedot!F18</f>
        <v>0.4</v>
      </c>
      <c r="H15" s="5"/>
      <c r="I15" s="5"/>
      <c r="X15" s="17"/>
      <c r="Y15" s="18"/>
      <c r="Z15" s="17"/>
      <c r="AA15" s="18"/>
    </row>
    <row r="16" spans="2:27" ht="12.75" customHeight="1" hidden="1">
      <c r="B16" s="8" t="s">
        <v>123</v>
      </c>
      <c r="C16" s="67"/>
      <c r="D16" s="73">
        <f>(1-Leimikkotiedot!F19)*D12</f>
        <v>0.5599999999999999</v>
      </c>
      <c r="H16" s="5"/>
      <c r="I16" s="5"/>
      <c r="X16" s="17"/>
      <c r="Y16" s="18"/>
      <c r="Z16" s="17"/>
      <c r="AA16" s="18"/>
    </row>
    <row r="17" spans="2:6" ht="12.75" customHeight="1" hidden="1">
      <c r="B17" s="9" t="s">
        <v>29</v>
      </c>
      <c r="C17" s="11"/>
      <c r="D17" s="27">
        <f>Leimikkotiedot!F20</f>
        <v>15</v>
      </c>
      <c r="F17" s="16"/>
    </row>
    <row r="18" spans="2:4" ht="12.75" customHeight="1" hidden="1">
      <c r="B18" s="9"/>
      <c r="D18" s="4"/>
    </row>
    <row r="19" spans="2:7" ht="12.75" customHeight="1" hidden="1">
      <c r="B19" s="9"/>
      <c r="D19" s="62" t="s">
        <v>106</v>
      </c>
      <c r="E19" s="63" t="s">
        <v>107</v>
      </c>
      <c r="F19" s="63" t="s">
        <v>108</v>
      </c>
      <c r="G19" s="63" t="s">
        <v>109</v>
      </c>
    </row>
    <row r="20" spans="2:7" ht="16.5" customHeight="1" hidden="1">
      <c r="B20" s="26" t="s">
        <v>21</v>
      </c>
      <c r="C20" s="11"/>
      <c r="D20" s="27">
        <f>((E5+H5)*184/425+(D5+G5)*94/395+(F5+I5)*85/500)*D12</f>
        <v>111.14676098287416</v>
      </c>
      <c r="E20" s="27">
        <f>(Y4*Y8+Y5*Y11+Y6*Y12)*0.278*D12*0.001</f>
        <v>224.31394103999997</v>
      </c>
      <c r="F20" s="27">
        <f>D20/D6</f>
        <v>55.57338049143708</v>
      </c>
      <c r="G20" s="27">
        <f>E20/D6</f>
        <v>112.15697051999999</v>
      </c>
    </row>
    <row r="21" spans="2:7" ht="16.5" customHeight="1" hidden="1">
      <c r="B21" s="26"/>
      <c r="C21" s="11"/>
      <c r="D21" s="64" t="s">
        <v>110</v>
      </c>
      <c r="E21" s="64" t="s">
        <v>111</v>
      </c>
      <c r="F21" s="64" t="s">
        <v>112</v>
      </c>
      <c r="G21" s="64" t="s">
        <v>113</v>
      </c>
    </row>
    <row r="22" spans="2:7" ht="16.5" customHeight="1" hidden="1">
      <c r="B22" s="26"/>
      <c r="C22" s="11"/>
      <c r="D22" s="74">
        <f>((E5+H5)*184/425+(D5+G5)*94/395+(F5+I5)*85/500)*(D14)</f>
        <v>108.92382576321667</v>
      </c>
      <c r="E22" s="27">
        <f>(Y4*AC8+Y5*AC11+Y6*AC12)*0.278*(D14)*0.001</f>
        <v>231.55055232756365</v>
      </c>
      <c r="F22" s="74">
        <f>D22/D6</f>
        <v>54.461912881608335</v>
      </c>
      <c r="G22" s="74">
        <f>E22/D6</f>
        <v>115.77527616378183</v>
      </c>
    </row>
    <row r="23" spans="2:16" ht="16.5" customHeight="1" hidden="1">
      <c r="B23" s="26"/>
      <c r="C23" s="11"/>
      <c r="D23" s="66" t="s">
        <v>114</v>
      </c>
      <c r="E23" s="65" t="s">
        <v>115</v>
      </c>
      <c r="F23" s="65" t="s">
        <v>116</v>
      </c>
      <c r="G23" s="65" t="s">
        <v>117</v>
      </c>
      <c r="H23" s="44"/>
      <c r="I23" s="44"/>
      <c r="J23" s="44"/>
      <c r="K23" s="44"/>
      <c r="L23" s="44"/>
      <c r="M23" s="44"/>
      <c r="N23" s="44"/>
      <c r="O23" s="44"/>
      <c r="P23" s="44"/>
    </row>
    <row r="24" spans="2:16" ht="16.5" customHeight="1" hidden="1">
      <c r="B24" s="26"/>
      <c r="C24" s="11"/>
      <c r="D24" s="27">
        <f>((E5+H5)*184/425+(D5+G5)*94/395+(F5+I5)*85/500)*(D16)</f>
        <v>88.91740878629932</v>
      </c>
      <c r="E24" s="27">
        <f>(Y4*AA8+Y5*AA11+Y6*AA12)*0.278*(D16)*0.001</f>
        <v>192.959195072</v>
      </c>
      <c r="F24" s="27">
        <f>D24/D6</f>
        <v>44.45870439314966</v>
      </c>
      <c r="G24" s="27">
        <f>E24/D6</f>
        <v>96.479597536</v>
      </c>
      <c r="H24" s="44"/>
      <c r="I24" s="44"/>
      <c r="J24" s="44"/>
      <c r="K24" s="44"/>
      <c r="L24" s="44"/>
      <c r="M24" s="44"/>
      <c r="N24" s="44"/>
      <c r="O24" s="44"/>
      <c r="P24" s="44"/>
    </row>
    <row r="25" spans="2:16" ht="14.25" customHeight="1" hidden="1">
      <c r="B25" s="26"/>
      <c r="C25" s="11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</row>
    <row r="26" spans="1:16" ht="16.5">
      <c r="A26" s="229"/>
      <c r="B26" s="225"/>
      <c r="C26" s="226"/>
      <c r="D26" s="227"/>
      <c r="E26" s="227"/>
      <c r="F26" s="227"/>
      <c r="G26" s="227"/>
      <c r="H26" s="228"/>
      <c r="I26" s="228"/>
      <c r="J26" s="228"/>
      <c r="K26" s="44"/>
      <c r="L26" s="44"/>
      <c r="M26" s="44"/>
      <c r="N26" s="44"/>
      <c r="O26" s="44"/>
      <c r="P26" s="44"/>
    </row>
    <row r="27" spans="1:16" s="4" customFormat="1" ht="29.25">
      <c r="A27" s="300"/>
      <c r="B27" s="352" t="s">
        <v>178</v>
      </c>
      <c r="C27" s="348"/>
      <c r="D27" s="349"/>
      <c r="E27" s="349"/>
      <c r="F27" s="350"/>
      <c r="G27" s="350"/>
      <c r="H27" s="351"/>
      <c r="I27" s="351"/>
      <c r="J27" s="351"/>
      <c r="K27" s="44"/>
      <c r="L27" s="44"/>
      <c r="M27" s="44"/>
      <c r="N27" s="44"/>
      <c r="O27" s="44"/>
      <c r="P27" s="44"/>
    </row>
    <row r="28" spans="1:16" s="19" customFormat="1" ht="16.5" customHeight="1">
      <c r="A28" s="222"/>
      <c r="B28" s="221"/>
      <c r="C28" s="222"/>
      <c r="D28" s="223"/>
      <c r="E28" s="223"/>
      <c r="F28" s="224"/>
      <c r="G28" s="223"/>
      <c r="H28" s="223"/>
      <c r="I28" s="223"/>
      <c r="J28" s="223"/>
      <c r="K28" s="30"/>
      <c r="L28" s="30"/>
      <c r="M28" s="30"/>
      <c r="N28" s="30"/>
      <c r="O28" s="30"/>
      <c r="P28" s="30"/>
    </row>
    <row r="29" spans="2:16" s="19" customFormat="1" ht="12.75" customHeight="1">
      <c r="B29" s="126"/>
      <c r="D29" s="30"/>
      <c r="E29" s="30"/>
      <c r="F29" s="197"/>
      <c r="G29" s="30"/>
      <c r="H29" s="30"/>
      <c r="I29" s="30"/>
      <c r="J29" s="30"/>
      <c r="K29" s="30"/>
      <c r="L29" s="30"/>
      <c r="M29" s="30"/>
      <c r="N29" s="30"/>
      <c r="O29" s="30"/>
      <c r="P29" s="30"/>
    </row>
    <row r="30" spans="2:16" s="39" customFormat="1" ht="15" customHeight="1">
      <c r="B30" s="198"/>
      <c r="C30" s="199"/>
      <c r="D30" s="143" t="s">
        <v>53</v>
      </c>
      <c r="E30" s="143" t="s">
        <v>22</v>
      </c>
      <c r="F30" s="144" t="s">
        <v>54</v>
      </c>
      <c r="G30" s="44"/>
      <c r="H30" s="44"/>
      <c r="I30" s="44"/>
      <c r="J30" s="44"/>
      <c r="K30" s="44"/>
      <c r="L30" s="44"/>
      <c r="M30" s="44"/>
      <c r="N30" s="44"/>
      <c r="O30" s="44"/>
      <c r="P30" s="44"/>
    </row>
    <row r="31" spans="2:16" s="39" customFormat="1" ht="18.75" customHeight="1" thickBot="1">
      <c r="B31" s="163" t="s">
        <v>168</v>
      </c>
      <c r="C31" s="164"/>
      <c r="D31" s="347"/>
      <c r="E31" s="279">
        <v>0.45</v>
      </c>
      <c r="F31" s="276">
        <f>IF(COUNTA(C31:D31)=1,D31,E31)</f>
        <v>0.45</v>
      </c>
      <c r="G31" s="44"/>
      <c r="H31" s="44"/>
      <c r="I31" s="44"/>
      <c r="J31" s="44"/>
      <c r="K31" s="44"/>
      <c r="L31" s="44"/>
      <c r="M31" s="44"/>
      <c r="N31" s="44"/>
      <c r="O31" s="44"/>
      <c r="P31" s="44"/>
    </row>
    <row r="32" spans="2:31" s="39" customFormat="1" ht="19.5" customHeight="1" thickBot="1" thickTop="1">
      <c r="B32" s="119" t="s">
        <v>141</v>
      </c>
      <c r="C32" s="145"/>
      <c r="D32" s="318"/>
      <c r="E32" s="280">
        <v>0.02</v>
      </c>
      <c r="F32" s="277">
        <f>IF(COUNTA(C32:D32)=1,D32,E32)</f>
        <v>0.02</v>
      </c>
      <c r="G32" s="44"/>
      <c r="H32" s="44"/>
      <c r="I32" s="44"/>
      <c r="J32" s="44"/>
      <c r="K32" s="44"/>
      <c r="L32" s="44"/>
      <c r="M32" s="44"/>
      <c r="N32" s="44"/>
      <c r="O32" s="44"/>
      <c r="P32" s="44"/>
      <c r="W32" s="5"/>
      <c r="X32" s="5" t="s">
        <v>143</v>
      </c>
      <c r="Y32" s="5"/>
      <c r="Z32" s="5"/>
      <c r="AA32" s="5"/>
      <c r="AB32" s="5"/>
      <c r="AC32" s="5"/>
      <c r="AD32" s="5"/>
      <c r="AE32" s="5"/>
    </row>
    <row r="33" spans="4:31" s="11" customFormat="1" ht="12.75" customHeight="1" thickTop="1"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W33" s="5"/>
      <c r="X33" s="85" t="s">
        <v>151</v>
      </c>
      <c r="Y33" s="86" t="s">
        <v>147</v>
      </c>
      <c r="Z33" s="86" t="s">
        <v>148</v>
      </c>
      <c r="AA33" s="86" t="s">
        <v>149</v>
      </c>
      <c r="AB33" s="85" t="s">
        <v>150</v>
      </c>
      <c r="AC33" s="81" t="s">
        <v>144</v>
      </c>
      <c r="AD33" s="81" t="s">
        <v>149</v>
      </c>
      <c r="AE33" s="82" t="s">
        <v>150</v>
      </c>
    </row>
    <row r="34" spans="2:31" ht="19.5">
      <c r="B34" s="101" t="s">
        <v>100</v>
      </c>
      <c r="W34" s="5" t="s">
        <v>145</v>
      </c>
      <c r="X34" s="90">
        <f>(F42-F38)+F59+F70</f>
        <v>12.430850609458695</v>
      </c>
      <c r="Y34" s="88">
        <f>POWER(1+Leimikkotiedot!F23,Z34)</f>
        <v>1.0196128224222163</v>
      </c>
      <c r="Z34" s="89">
        <f>Leimikkotiedot!F21/12</f>
        <v>0.3333333333333333</v>
      </c>
      <c r="AA34" s="90">
        <f>X34*Y34</f>
        <v>12.674654675019108</v>
      </c>
      <c r="AB34" s="90">
        <f>AA34-X34</f>
        <v>0.243804065560413</v>
      </c>
      <c r="AC34" s="83">
        <f>(H42-F38)+H59+H70</f>
        <v>15.347529147561083</v>
      </c>
      <c r="AD34" s="84">
        <f>AC34*Y34</f>
        <v>15.648537511351988</v>
      </c>
      <c r="AE34" s="84">
        <f>AD34-AC34</f>
        <v>0.30100836379090445</v>
      </c>
    </row>
    <row r="35" spans="2:31" ht="16.5">
      <c r="B35" s="114"/>
      <c r="C35" s="114"/>
      <c r="D35" s="143" t="s">
        <v>53</v>
      </c>
      <c r="E35" s="143" t="s">
        <v>22</v>
      </c>
      <c r="F35" s="144" t="s">
        <v>54</v>
      </c>
      <c r="W35" s="17"/>
      <c r="X35" s="87"/>
      <c r="Y35" s="88"/>
      <c r="Z35" s="89"/>
      <c r="AA35" s="90"/>
      <c r="AB35" s="90"/>
      <c r="AC35" s="83"/>
      <c r="AD35" s="84"/>
      <c r="AE35" s="84"/>
    </row>
    <row r="36" spans="2:7" ht="20.25" thickBot="1">
      <c r="B36" s="116" t="s">
        <v>198</v>
      </c>
      <c r="C36" s="124"/>
      <c r="D36" s="315"/>
      <c r="E36" s="323">
        <v>0</v>
      </c>
      <c r="F36" s="325">
        <f>IF(COUNTA(C36:D36)=1,D36,E36)</f>
        <v>0</v>
      </c>
      <c r="G36" s="4"/>
    </row>
    <row r="37" spans="2:7" ht="21" thickBot="1" thickTop="1">
      <c r="B37" s="119" t="s">
        <v>199</v>
      </c>
      <c r="C37" s="125"/>
      <c r="D37" s="316"/>
      <c r="E37" s="324">
        <f>2/6</f>
        <v>0.3333333333333333</v>
      </c>
      <c r="F37" s="326">
        <f>IF(COUNTA(C37:D37)=1,D37,E37)</f>
        <v>0.3333333333333333</v>
      </c>
      <c r="G37" s="4"/>
    </row>
    <row r="38" spans="2:7" ht="21" thickBot="1" thickTop="1">
      <c r="B38" s="119" t="s">
        <v>200</v>
      </c>
      <c r="C38" s="125"/>
      <c r="D38" s="316"/>
      <c r="E38" s="324">
        <v>2</v>
      </c>
      <c r="F38" s="326">
        <f>IF(COUNTA(C38:D38)=1,D38,E38)</f>
        <v>2</v>
      </c>
      <c r="G38" s="4"/>
    </row>
    <row r="39" spans="2:7" ht="21" thickBot="1" thickTop="1">
      <c r="B39" s="145" t="s">
        <v>201</v>
      </c>
      <c r="C39" s="125"/>
      <c r="D39" s="316"/>
      <c r="E39" s="324">
        <v>0</v>
      </c>
      <c r="F39" s="326">
        <f>IF(COUNTA(C39:D39)=1,D39,E39)</f>
        <v>0</v>
      </c>
      <c r="G39" s="31"/>
    </row>
    <row r="40" spans="2:7" ht="13.5" thickTop="1">
      <c r="B40" s="21"/>
      <c r="D40" s="32"/>
      <c r="E40" s="32"/>
      <c r="F40" s="33"/>
      <c r="G40" s="31"/>
    </row>
    <row r="41" spans="2:9" ht="16.5">
      <c r="B41" s="32"/>
      <c r="C41" s="4"/>
      <c r="D41" s="150" t="s">
        <v>192</v>
      </c>
      <c r="E41" s="150" t="s">
        <v>195</v>
      </c>
      <c r="F41" s="151" t="s">
        <v>193</v>
      </c>
      <c r="G41" s="151" t="s">
        <v>202</v>
      </c>
      <c r="H41" s="152" t="s">
        <v>194</v>
      </c>
      <c r="I41" s="153" t="s">
        <v>197</v>
      </c>
    </row>
    <row r="42" spans="2:9" s="4" customFormat="1" ht="19.5">
      <c r="B42" s="181" t="s">
        <v>174</v>
      </c>
      <c r="D42" s="147">
        <f>F36+F37+F38</f>
        <v>2.3333333333333335</v>
      </c>
      <c r="E42" s="147">
        <f>D42*(D20/E20)</f>
        <v>1.156158378257581</v>
      </c>
      <c r="F42" s="148">
        <f>F36+((F37)*(D12/D14))+F38+F39</f>
        <v>2.3401360544217686</v>
      </c>
      <c r="G42" s="148">
        <f>F42*(D22/E22)</f>
        <v>1.1008247196641012</v>
      </c>
      <c r="H42" s="149">
        <f>(F37)*(D12/D16)+F36+F38+F39</f>
        <v>2.4166666666666665</v>
      </c>
      <c r="I42" s="149">
        <f>H42*(D24/E24)</f>
        <v>1.1136226901239017</v>
      </c>
    </row>
    <row r="43" spans="1:10" s="4" customFormat="1" ht="15.75">
      <c r="A43" s="231"/>
      <c r="B43" s="230"/>
      <c r="C43" s="231"/>
      <c r="D43" s="232"/>
      <c r="E43" s="232"/>
      <c r="F43" s="233"/>
      <c r="G43" s="234"/>
      <c r="H43" s="231"/>
      <c r="I43" s="231"/>
      <c r="J43" s="231"/>
    </row>
    <row r="44" spans="2:7" ht="12.75">
      <c r="B44" s="21"/>
      <c r="D44" s="32"/>
      <c r="E44" s="32"/>
      <c r="F44" s="33"/>
      <c r="G44" s="31"/>
    </row>
    <row r="45" spans="2:7" ht="19.5">
      <c r="B45" s="101" t="s">
        <v>67</v>
      </c>
      <c r="D45" s="32"/>
      <c r="E45" s="32"/>
      <c r="F45" s="33"/>
      <c r="G45" s="31"/>
    </row>
    <row r="46" spans="2:23" ht="16.5">
      <c r="B46" s="200"/>
      <c r="C46" s="114"/>
      <c r="D46" s="143" t="s">
        <v>53</v>
      </c>
      <c r="E46" s="143" t="s">
        <v>22</v>
      </c>
      <c r="F46" s="144" t="s">
        <v>54</v>
      </c>
      <c r="G46" s="31"/>
      <c r="T46" s="50" t="s">
        <v>72</v>
      </c>
      <c r="U46" s="14" t="s">
        <v>73</v>
      </c>
      <c r="V46" s="13" t="s">
        <v>74</v>
      </c>
      <c r="W46" s="14" t="s">
        <v>75</v>
      </c>
    </row>
    <row r="47" spans="2:23" ht="20.25" thickBot="1">
      <c r="B47" s="164" t="s">
        <v>216</v>
      </c>
      <c r="C47" s="124"/>
      <c r="D47" s="315"/>
      <c r="E47" s="337">
        <v>78</v>
      </c>
      <c r="F47" s="329">
        <f aca="true" t="shared" si="0" ref="F47:F56">IF(COUNTA(C47:D47)=1,D47,E47)</f>
        <v>78</v>
      </c>
      <c r="G47" s="31"/>
      <c r="S47" s="17" t="s">
        <v>81</v>
      </c>
      <c r="T47" s="18">
        <f>F52</f>
        <v>20.2</v>
      </c>
      <c r="U47" s="18">
        <f>F53</f>
        <v>18.3</v>
      </c>
      <c r="V47" s="18">
        <f>F54</f>
        <v>21.2</v>
      </c>
      <c r="W47" s="18">
        <f>F55</f>
        <v>19.2</v>
      </c>
    </row>
    <row r="48" spans="2:19" ht="21" thickBot="1" thickTop="1">
      <c r="B48" s="119" t="s">
        <v>179</v>
      </c>
      <c r="C48" s="125"/>
      <c r="D48" s="316"/>
      <c r="E48" s="322">
        <v>0.59</v>
      </c>
      <c r="F48" s="328">
        <f t="shared" si="0"/>
        <v>0.59</v>
      </c>
      <c r="G48" s="31"/>
      <c r="S48" s="17"/>
    </row>
    <row r="49" spans="2:19" ht="21" thickBot="1" thickTop="1">
      <c r="B49" s="119" t="s">
        <v>180</v>
      </c>
      <c r="C49" s="125"/>
      <c r="D49" s="316"/>
      <c r="E49" s="322">
        <v>0.47</v>
      </c>
      <c r="F49" s="328">
        <f t="shared" si="0"/>
        <v>0.47</v>
      </c>
      <c r="G49" s="31"/>
      <c r="S49" s="17"/>
    </row>
    <row r="50" spans="2:19" ht="21" thickBot="1" thickTop="1">
      <c r="B50" s="119" t="s">
        <v>181</v>
      </c>
      <c r="C50" s="125"/>
      <c r="D50" s="316"/>
      <c r="E50" s="322">
        <v>0.44</v>
      </c>
      <c r="F50" s="328">
        <f t="shared" si="0"/>
        <v>0.44</v>
      </c>
      <c r="G50" s="31"/>
      <c r="S50" s="17"/>
    </row>
    <row r="51" spans="2:19" ht="21" thickBot="1" thickTop="1">
      <c r="B51" s="119" t="s">
        <v>182</v>
      </c>
      <c r="C51" s="125"/>
      <c r="D51" s="316"/>
      <c r="E51" s="322">
        <v>0.35</v>
      </c>
      <c r="F51" s="328">
        <f t="shared" si="0"/>
        <v>0.35</v>
      </c>
      <c r="G51" s="31"/>
      <c r="S51" s="17"/>
    </row>
    <row r="52" spans="2:19" ht="21" thickBot="1" thickTop="1">
      <c r="B52" s="119" t="s">
        <v>183</v>
      </c>
      <c r="C52" s="125"/>
      <c r="D52" s="316"/>
      <c r="E52" s="321">
        <v>20.2</v>
      </c>
      <c r="F52" s="278">
        <f t="shared" si="0"/>
        <v>20.2</v>
      </c>
      <c r="G52" s="31"/>
      <c r="S52" s="17"/>
    </row>
    <row r="53" spans="2:19" ht="21" thickBot="1" thickTop="1">
      <c r="B53" s="119" t="s">
        <v>184</v>
      </c>
      <c r="C53" s="125"/>
      <c r="D53" s="316"/>
      <c r="E53" s="321">
        <v>18.3</v>
      </c>
      <c r="F53" s="278">
        <f t="shared" si="0"/>
        <v>18.3</v>
      </c>
      <c r="G53" s="31"/>
      <c r="S53" s="17"/>
    </row>
    <row r="54" spans="2:19" ht="21" thickBot="1" thickTop="1">
      <c r="B54" s="119" t="s">
        <v>185</v>
      </c>
      <c r="C54" s="125"/>
      <c r="D54" s="316"/>
      <c r="E54" s="321">
        <v>21.2</v>
      </c>
      <c r="F54" s="278">
        <f t="shared" si="0"/>
        <v>21.2</v>
      </c>
      <c r="G54" s="31"/>
      <c r="S54" s="17"/>
    </row>
    <row r="55" spans="2:19" ht="21" thickBot="1" thickTop="1">
      <c r="B55" s="119" t="s">
        <v>186</v>
      </c>
      <c r="C55" s="125"/>
      <c r="D55" s="316"/>
      <c r="E55" s="321">
        <v>19.2</v>
      </c>
      <c r="F55" s="278">
        <f t="shared" si="0"/>
        <v>19.2</v>
      </c>
      <c r="G55" s="31"/>
      <c r="S55" s="17"/>
    </row>
    <row r="56" spans="2:19" ht="21" thickBot="1" thickTop="1">
      <c r="B56" s="145" t="s">
        <v>214</v>
      </c>
      <c r="C56" s="125"/>
      <c r="D56" s="316"/>
      <c r="E56" s="321">
        <v>78</v>
      </c>
      <c r="F56" s="278">
        <f t="shared" si="0"/>
        <v>78</v>
      </c>
      <c r="G56" s="31"/>
      <c r="S56" s="17"/>
    </row>
    <row r="57" spans="2:23" ht="13.5" thickTop="1">
      <c r="B57" s="21"/>
      <c r="C57" s="4"/>
      <c r="D57" s="32"/>
      <c r="E57" s="32"/>
      <c r="F57" s="33"/>
      <c r="G57" s="31"/>
      <c r="S57" s="17" t="s">
        <v>83</v>
      </c>
      <c r="T57" s="36">
        <f>F48</f>
        <v>0.59</v>
      </c>
      <c r="U57" s="36">
        <f>F49</f>
        <v>0.47</v>
      </c>
      <c r="V57" s="36">
        <f>F50</f>
        <v>0.44</v>
      </c>
      <c r="W57" s="36">
        <f>F51</f>
        <v>0.35</v>
      </c>
    </row>
    <row r="58" spans="2:9" ht="16.5">
      <c r="B58" s="21"/>
      <c r="C58" s="4"/>
      <c r="D58" s="150" t="s">
        <v>192</v>
      </c>
      <c r="E58" s="150" t="s">
        <v>195</v>
      </c>
      <c r="F58" s="151" t="s">
        <v>193</v>
      </c>
      <c r="G58" s="151" t="s">
        <v>202</v>
      </c>
      <c r="H58" s="152" t="s">
        <v>194</v>
      </c>
      <c r="I58" s="153" t="s">
        <v>197</v>
      </c>
    </row>
    <row r="59" spans="2:9" s="4" customFormat="1" ht="20.25">
      <c r="B59" s="181" t="s">
        <v>70</v>
      </c>
      <c r="D59" s="147">
        <f>(F47/((H8*F48*F52)+(H9*F50*F54)))+F56/D20</f>
        <v>7.434467574336067</v>
      </c>
      <c r="E59" s="147">
        <f>D59*(D20/E20)</f>
        <v>3.6837522745512685</v>
      </c>
      <c r="F59" s="146">
        <f>D59*(D12/D14)</f>
        <v>7.586191402383743</v>
      </c>
      <c r="G59" s="146">
        <f>F59*(D22/E22)</f>
        <v>3.568624571237072</v>
      </c>
      <c r="H59" s="149">
        <f>(F47/((H8*F49*F53)+(H9*F51*F55)))+F56/D24</f>
        <v>10.20809157437512</v>
      </c>
      <c r="I59" s="149">
        <f>H59*(D24/E24)</f>
        <v>4.703984441415209</v>
      </c>
    </row>
    <row r="60" spans="1:10" s="4" customFormat="1" ht="15.75">
      <c r="A60" s="231"/>
      <c r="B60" s="230"/>
      <c r="C60" s="231"/>
      <c r="D60" s="232"/>
      <c r="E60" s="232"/>
      <c r="F60" s="233"/>
      <c r="G60" s="234"/>
      <c r="H60" s="231"/>
      <c r="I60" s="231"/>
      <c r="J60" s="231"/>
    </row>
    <row r="61" spans="2:7" s="4" customFormat="1" ht="12.75">
      <c r="B61" s="32"/>
      <c r="D61" s="32"/>
      <c r="E61" s="32"/>
      <c r="F61" s="33"/>
      <c r="G61" s="31"/>
    </row>
    <row r="62" ht="19.5">
      <c r="B62" s="101" t="s">
        <v>11</v>
      </c>
    </row>
    <row r="63" spans="2:6" ht="16.5">
      <c r="B63" s="114"/>
      <c r="C63" s="114"/>
      <c r="D63" s="143" t="s">
        <v>53</v>
      </c>
      <c r="E63" s="143" t="s">
        <v>22</v>
      </c>
      <c r="F63" s="144" t="s">
        <v>54</v>
      </c>
    </row>
    <row r="64" spans="2:8" ht="20.25" thickBot="1">
      <c r="B64" s="116" t="s">
        <v>76</v>
      </c>
      <c r="C64" s="164"/>
      <c r="D64" s="315"/>
      <c r="E64" s="319">
        <v>20</v>
      </c>
      <c r="F64" s="329">
        <f>IF(COUNTA(C64:D64)=1,D64,E64)</f>
        <v>20</v>
      </c>
      <c r="G64" s="4"/>
      <c r="H64" s="60"/>
    </row>
    <row r="65" spans="2:8" ht="21" thickBot="1" thickTop="1">
      <c r="B65" s="238" t="s">
        <v>217</v>
      </c>
      <c r="C65" s="165"/>
      <c r="D65" s="317"/>
      <c r="E65" s="320">
        <v>1.2</v>
      </c>
      <c r="F65" s="327">
        <f>IF(COUNTA(C65:D65)=1,D65,E65)</f>
        <v>1.2</v>
      </c>
      <c r="G65" s="4"/>
      <c r="H65" s="60"/>
    </row>
    <row r="66" spans="2:23" ht="21" thickBot="1" thickTop="1">
      <c r="B66" s="119" t="s">
        <v>203</v>
      </c>
      <c r="C66" s="145"/>
      <c r="D66" s="316"/>
      <c r="E66" s="321">
        <v>60</v>
      </c>
      <c r="F66" s="278">
        <f>IF(COUNTA(C66:D66)=1,D66,E66)</f>
        <v>60</v>
      </c>
      <c r="G66" s="4"/>
      <c r="I66" s="39"/>
      <c r="S66" s="13" t="s">
        <v>80</v>
      </c>
      <c r="T66" s="14" t="s">
        <v>80</v>
      </c>
      <c r="U66" s="13" t="s">
        <v>78</v>
      </c>
      <c r="V66" s="15" t="s">
        <v>79</v>
      </c>
      <c r="W66" s="96" t="s">
        <v>162</v>
      </c>
    </row>
    <row r="67" spans="2:23" ht="21" thickBot="1" thickTop="1">
      <c r="B67" s="145" t="s">
        <v>214</v>
      </c>
      <c r="C67" s="125"/>
      <c r="D67" s="316"/>
      <c r="E67" s="321">
        <v>60</v>
      </c>
      <c r="F67" s="278">
        <f>IF(COUNTA(C67:D67)=1,D67,E67)</f>
        <v>60</v>
      </c>
      <c r="G67" s="4"/>
      <c r="S67" s="18">
        <f>(D20/D6)/(100/D17)</f>
        <v>8.336007073715562</v>
      </c>
      <c r="T67" s="18">
        <f>(D24/D6)/(100/D17)</f>
        <v>6.668805658972449</v>
      </c>
      <c r="U67" s="18">
        <f>F64*(F48*H8+F50*H9)</f>
        <v>11.414587583179753</v>
      </c>
      <c r="V67" s="18">
        <f>F64*(F49*H8+F51*H9)</f>
        <v>9.0916700665438</v>
      </c>
      <c r="W67" s="5">
        <f>38/50</f>
        <v>0.76</v>
      </c>
    </row>
    <row r="68" spans="2:7" ht="13.5" thickTop="1">
      <c r="B68" s="17"/>
      <c r="D68" s="4"/>
      <c r="E68" s="4"/>
      <c r="F68" s="4"/>
      <c r="G68" s="4"/>
    </row>
    <row r="69" spans="4:26" ht="16.5">
      <c r="D69" s="150" t="s">
        <v>192</v>
      </c>
      <c r="E69" s="150" t="s">
        <v>195</v>
      </c>
      <c r="F69" s="151" t="s">
        <v>193</v>
      </c>
      <c r="G69" s="151" t="s">
        <v>202</v>
      </c>
      <c r="H69" s="152" t="s">
        <v>194</v>
      </c>
      <c r="I69" s="153" t="s">
        <v>197</v>
      </c>
      <c r="Q69" s="13" t="s">
        <v>37</v>
      </c>
      <c r="R69" s="14" t="s">
        <v>37</v>
      </c>
      <c r="S69" s="13" t="s">
        <v>33</v>
      </c>
      <c r="T69" s="35" t="s">
        <v>33</v>
      </c>
      <c r="U69" s="13" t="s">
        <v>34</v>
      </c>
      <c r="V69" s="14" t="s">
        <v>34</v>
      </c>
      <c r="W69" s="13" t="s">
        <v>35</v>
      </c>
      <c r="X69" s="14" t="s">
        <v>35</v>
      </c>
      <c r="Y69" s="13" t="s">
        <v>82</v>
      </c>
      <c r="Z69" s="14" t="s">
        <v>82</v>
      </c>
    </row>
    <row r="70" spans="2:26" s="4" customFormat="1" ht="20.25">
      <c r="B70" s="158" t="s">
        <v>69</v>
      </c>
      <c r="D70" s="147">
        <f>(((Q70+S70+U70+W70+Y70)*F65)/60)*F66+F67/Leimikkotiedot!C32</f>
        <v>3.826621288209844</v>
      </c>
      <c r="E70" s="147">
        <f>D70*(D20/E20)</f>
        <v>1.8960772554782694</v>
      </c>
      <c r="F70" s="146">
        <f>D70*(D12/D14)+F67/Leimikkotiedot!C33</f>
        <v>4.504523152653183</v>
      </c>
      <c r="G70" s="146">
        <f>F70*(D22/E22)</f>
        <v>2.1189752738394314</v>
      </c>
      <c r="H70" s="149">
        <f>(((R70+T70+V70+X70+Z70)*F65)/60)*F66+F67/Leimikkotiedot!C34</f>
        <v>4.7227709065192975</v>
      </c>
      <c r="I70" s="149">
        <f>H70*(D24/E24)</f>
        <v>2.1762971758994145</v>
      </c>
      <c r="Q70" s="201">
        <f>0.3/(T57*H8+V57*H9)</f>
        <v>0.5256431698716342</v>
      </c>
      <c r="R70" s="201">
        <f>0.3/(U57*H8+W57*H9)</f>
        <v>0.6599447577930971</v>
      </c>
      <c r="S70" s="201">
        <f>0.039/(T57*H8+V57*H9)+0.25+2.44/S67</f>
        <v>0.6110396976735724</v>
      </c>
      <c r="T70" s="162">
        <f>0.039/(U57*H8+W57*H9)+0.25+2.44/T67</f>
        <v>0.7016754255009277</v>
      </c>
      <c r="U70" s="160">
        <f>(0.5+0.018*(2*D7*0.53))/U67</f>
        <v>0.4616899175372519</v>
      </c>
      <c r="V70" s="160">
        <f>(0.5+0.018*(2*D7*0.53))/V67</f>
        <v>0.5796514789282703</v>
      </c>
      <c r="W70" s="160">
        <f>(0.87+0.019*(2*D7*0.47))/(U67*W67)</f>
        <v>0.6149794542248176</v>
      </c>
      <c r="X70" s="160">
        <f>(0.87+0.019*(2*D7*0.47))/(V67*W67)</f>
        <v>0.7721064216724064</v>
      </c>
      <c r="Y70" s="201">
        <f>Q70</f>
        <v>0.5256431698716342</v>
      </c>
      <c r="Z70" s="201">
        <f>R70</f>
        <v>0.6599447577930971</v>
      </c>
    </row>
    <row r="71" spans="1:10" s="130" customFormat="1" ht="15">
      <c r="A71" s="235"/>
      <c r="B71" s="235"/>
      <c r="C71" s="235"/>
      <c r="D71" s="235"/>
      <c r="E71" s="235"/>
      <c r="F71" s="235"/>
      <c r="G71" s="235"/>
      <c r="H71" s="235"/>
      <c r="I71" s="235"/>
      <c r="J71" s="235"/>
    </row>
    <row r="72" s="4" customFormat="1" ht="12.75"/>
    <row r="73" spans="2:9" ht="19.5">
      <c r="B73" s="101" t="s">
        <v>68</v>
      </c>
      <c r="I73" s="57"/>
    </row>
    <row r="74" spans="2:20" ht="16.5">
      <c r="B74" s="114"/>
      <c r="C74" s="114"/>
      <c r="D74" s="143" t="s">
        <v>53</v>
      </c>
      <c r="E74" s="143" t="s">
        <v>22</v>
      </c>
      <c r="F74" s="144" t="s">
        <v>54</v>
      </c>
      <c r="J74" s="4"/>
      <c r="K74" s="4"/>
      <c r="L74" s="4"/>
      <c r="M74" s="4"/>
      <c r="N74" s="4"/>
      <c r="O74" s="4"/>
      <c r="P74" s="4"/>
      <c r="Q74" s="10"/>
      <c r="R74" s="4"/>
      <c r="S74" s="4"/>
      <c r="T74" s="4"/>
    </row>
    <row r="75" spans="2:20" ht="20.25" thickBot="1">
      <c r="B75" s="116" t="s">
        <v>77</v>
      </c>
      <c r="C75" s="124"/>
      <c r="D75" s="315"/>
      <c r="E75" s="319">
        <v>70</v>
      </c>
      <c r="F75" s="329">
        <f aca="true" t="shared" si="1" ref="F75:F80">IF(COUNTA(C75:D75)=1,D75,E75)</f>
        <v>70</v>
      </c>
      <c r="G75" s="4"/>
      <c r="I75" s="10"/>
      <c r="J75" s="4"/>
      <c r="K75" s="4"/>
      <c r="L75" s="4"/>
      <c r="M75" s="4"/>
      <c r="N75" s="4"/>
      <c r="O75" s="4"/>
      <c r="P75" s="32"/>
      <c r="Q75" s="32"/>
      <c r="R75" s="4"/>
      <c r="S75" s="4"/>
      <c r="T75" s="4"/>
    </row>
    <row r="76" spans="2:20" ht="21" thickBot="1" thickTop="1">
      <c r="B76" s="119" t="s">
        <v>210</v>
      </c>
      <c r="C76" s="125"/>
      <c r="D76" s="316"/>
      <c r="E76" s="321">
        <v>48</v>
      </c>
      <c r="F76" s="278">
        <f t="shared" si="1"/>
        <v>48</v>
      </c>
      <c r="G76" s="4"/>
      <c r="I76" s="10"/>
      <c r="J76" s="4"/>
      <c r="K76" s="4"/>
      <c r="L76" s="4"/>
      <c r="M76" s="4"/>
      <c r="N76" s="4"/>
      <c r="O76" s="4"/>
      <c r="P76" s="32"/>
      <c r="Q76" s="32"/>
      <c r="R76" s="4"/>
      <c r="S76" s="4"/>
      <c r="T76" s="4"/>
    </row>
    <row r="77" spans="2:20" ht="21" thickBot="1" thickTop="1">
      <c r="B77" s="119" t="s">
        <v>211</v>
      </c>
      <c r="C77" s="125"/>
      <c r="D77" s="316"/>
      <c r="E77" s="321">
        <v>75</v>
      </c>
      <c r="F77" s="278">
        <f t="shared" si="1"/>
        <v>75</v>
      </c>
      <c r="G77" s="4"/>
      <c r="I77" s="10"/>
      <c r="J77" s="4"/>
      <c r="K77" s="4"/>
      <c r="L77" s="4"/>
      <c r="M77" s="4"/>
      <c r="N77" s="4"/>
      <c r="O77" s="4"/>
      <c r="P77" s="32"/>
      <c r="Q77" s="32"/>
      <c r="R77" s="4"/>
      <c r="S77" s="4"/>
      <c r="T77" s="4"/>
    </row>
    <row r="78" spans="2:20" ht="21" thickBot="1" thickTop="1">
      <c r="B78" s="119" t="s">
        <v>63</v>
      </c>
      <c r="C78" s="125"/>
      <c r="D78" s="316"/>
      <c r="E78" s="281">
        <v>0.85</v>
      </c>
      <c r="F78" s="328">
        <f t="shared" si="1"/>
        <v>0.85</v>
      </c>
      <c r="G78" s="4"/>
      <c r="I78" s="10"/>
      <c r="J78" s="4"/>
      <c r="K78" s="4"/>
      <c r="L78" s="4"/>
      <c r="M78" s="4"/>
      <c r="N78" s="4"/>
      <c r="O78" s="4"/>
      <c r="P78" s="32"/>
      <c r="Q78" s="32"/>
      <c r="R78" s="4"/>
      <c r="S78" s="4"/>
      <c r="T78" s="4"/>
    </row>
    <row r="79" spans="2:20" ht="21" thickBot="1" thickTop="1">
      <c r="B79" s="119" t="s">
        <v>18</v>
      </c>
      <c r="C79" s="125"/>
      <c r="D79" s="316"/>
      <c r="E79" s="322">
        <v>0.5</v>
      </c>
      <c r="F79" s="328">
        <f t="shared" si="1"/>
        <v>0.5</v>
      </c>
      <c r="G79" s="4"/>
      <c r="I79" s="10"/>
      <c r="J79" s="4"/>
      <c r="K79" s="4"/>
      <c r="L79" s="4"/>
      <c r="M79" s="4"/>
      <c r="N79" s="4"/>
      <c r="O79" s="4"/>
      <c r="P79" s="32"/>
      <c r="Q79" s="32"/>
      <c r="R79" s="4"/>
      <c r="S79" s="4"/>
      <c r="T79" s="4"/>
    </row>
    <row r="80" spans="2:20" ht="21" thickBot="1" thickTop="1">
      <c r="B80" s="119" t="s">
        <v>19</v>
      </c>
      <c r="C80" s="125"/>
      <c r="D80" s="316"/>
      <c r="E80" s="322">
        <v>0.3</v>
      </c>
      <c r="F80" s="328">
        <f t="shared" si="1"/>
        <v>0.3</v>
      </c>
      <c r="G80" s="4"/>
      <c r="I80" s="10"/>
      <c r="J80" s="4"/>
      <c r="K80" s="4"/>
      <c r="L80" s="4"/>
      <c r="M80" s="4"/>
      <c r="N80" s="4"/>
      <c r="O80" s="4"/>
      <c r="P80" s="32"/>
      <c r="Q80" s="32"/>
      <c r="R80" s="4"/>
      <c r="S80" s="4"/>
      <c r="T80" s="4"/>
    </row>
    <row r="81" spans="2:20" ht="13.5" thickTop="1">
      <c r="B81" s="17"/>
      <c r="D81" s="4"/>
      <c r="E81" s="4"/>
      <c r="F81" s="4"/>
      <c r="G81" s="4"/>
      <c r="I81" s="58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</row>
    <row r="82" spans="4:20" ht="16.5">
      <c r="D82" s="150" t="s">
        <v>192</v>
      </c>
      <c r="E82" s="150" t="s">
        <v>195</v>
      </c>
      <c r="F82" s="151" t="s">
        <v>193</v>
      </c>
      <c r="G82" s="151" t="s">
        <v>202</v>
      </c>
      <c r="H82" s="152" t="s">
        <v>194</v>
      </c>
      <c r="I82" s="153" t="s">
        <v>197</v>
      </c>
      <c r="J82" s="4"/>
      <c r="K82" s="4"/>
      <c r="L82" s="4"/>
      <c r="M82" s="4"/>
      <c r="N82" s="4"/>
      <c r="O82" s="4"/>
      <c r="P82" s="10"/>
      <c r="Q82" s="5" t="s">
        <v>59</v>
      </c>
      <c r="R82" s="5" t="s">
        <v>60</v>
      </c>
      <c r="S82" s="5" t="s">
        <v>37</v>
      </c>
      <c r="T82" s="5" t="s">
        <v>61</v>
      </c>
    </row>
    <row r="83" spans="2:20" s="4" customFormat="1" ht="19.5">
      <c r="B83" s="158" t="s">
        <v>26</v>
      </c>
      <c r="D83" s="147">
        <f>((Q83+R83)*F77+(S83+T83)*F76)/(F75*(F48*H8+F50*H9))</f>
        <v>5.105547674445646</v>
      </c>
      <c r="E83" s="147">
        <f>D83/(E20/D20)</f>
        <v>2.5297807368873606</v>
      </c>
      <c r="F83" s="148">
        <f>D83*(D12/D14)</f>
        <v>5.209742524944536</v>
      </c>
      <c r="G83" s="148">
        <f>F83/(E22/D22)</f>
        <v>2.450717916040697</v>
      </c>
      <c r="H83" s="149">
        <f>((Q83+R83)*F77+(S83+T83)*F76)/(F75*(F49*H8+F51*H9))</f>
        <v>6.410012754918834</v>
      </c>
      <c r="I83" s="149">
        <f>H83/(E20/D20)</f>
        <v>3.1761385505731576</v>
      </c>
      <c r="P83" s="46"/>
      <c r="Q83" s="191">
        <f>D8/(5.7917+30.63*LOG(D8))</f>
        <v>0.7974538284988528</v>
      </c>
      <c r="R83" s="191">
        <f>D8/(-0.44591+31.695*LOG(D8))</f>
        <v>0.8661731557039253</v>
      </c>
      <c r="S83" s="191">
        <f>F78</f>
        <v>0.85</v>
      </c>
      <c r="T83" s="191">
        <f>F79+F80</f>
        <v>0.8</v>
      </c>
    </row>
    <row r="84" spans="1:10" s="130" customFormat="1" ht="15">
      <c r="A84" s="235"/>
      <c r="B84" s="235"/>
      <c r="C84" s="235"/>
      <c r="D84" s="235"/>
      <c r="E84" s="235"/>
      <c r="F84" s="235"/>
      <c r="G84" s="235"/>
      <c r="H84" s="235"/>
      <c r="I84" s="235"/>
      <c r="J84" s="235"/>
    </row>
    <row r="85" s="130" customFormat="1" ht="15"/>
    <row r="86" spans="2:20" ht="19.5">
      <c r="B86" s="136" t="s">
        <v>66</v>
      </c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</row>
    <row r="87" spans="2:6" ht="16.5">
      <c r="B87" s="114"/>
      <c r="C87" s="114"/>
      <c r="D87" s="143" t="s">
        <v>53</v>
      </c>
      <c r="E87" s="143" t="s">
        <v>22</v>
      </c>
      <c r="F87" s="144" t="s">
        <v>54</v>
      </c>
    </row>
    <row r="88" spans="2:7" ht="20.25" thickBot="1">
      <c r="B88" s="163" t="s">
        <v>215</v>
      </c>
      <c r="C88" s="196"/>
      <c r="D88" s="315"/>
      <c r="E88" s="323">
        <v>2</v>
      </c>
      <c r="F88" s="325">
        <f>IF(COUNTA(C88:D88)=1,D88,E88)</f>
        <v>2</v>
      </c>
      <c r="G88" s="4"/>
    </row>
    <row r="89" spans="2:7" ht="13.5" thickTop="1">
      <c r="B89" s="21"/>
      <c r="D89" s="39"/>
      <c r="E89" s="39"/>
      <c r="F89" s="4"/>
      <c r="G89" s="4"/>
    </row>
    <row r="90" spans="4:9" ht="16.5">
      <c r="D90" s="150" t="s">
        <v>192</v>
      </c>
      <c r="E90" s="150" t="s">
        <v>195</v>
      </c>
      <c r="F90" s="151" t="s">
        <v>193</v>
      </c>
      <c r="G90" s="151" t="s">
        <v>202</v>
      </c>
      <c r="H90" s="152" t="s">
        <v>194</v>
      </c>
      <c r="I90" s="153" t="s">
        <v>197</v>
      </c>
    </row>
    <row r="91" spans="2:9" s="4" customFormat="1" ht="19.5">
      <c r="B91" s="181" t="s">
        <v>27</v>
      </c>
      <c r="D91" s="147">
        <f>F88</f>
        <v>2</v>
      </c>
      <c r="E91" s="147">
        <f>D91/(E20/D20)</f>
        <v>0.9909928956493551</v>
      </c>
      <c r="F91" s="148">
        <f>D91</f>
        <v>2</v>
      </c>
      <c r="G91" s="148">
        <f>E91</f>
        <v>0.9909928956493551</v>
      </c>
      <c r="H91" s="149">
        <f>F88</f>
        <v>2</v>
      </c>
      <c r="I91" s="149">
        <f>H91/(E20/D20)</f>
        <v>0.9909928956493551</v>
      </c>
    </row>
    <row r="92" spans="1:10" s="130" customFormat="1" ht="15">
      <c r="A92" s="235"/>
      <c r="B92" s="235"/>
      <c r="C92" s="235"/>
      <c r="D92" s="235"/>
      <c r="E92" s="235"/>
      <c r="F92" s="235"/>
      <c r="G92" s="235"/>
      <c r="H92" s="235"/>
      <c r="I92" s="235"/>
      <c r="J92" s="235"/>
    </row>
    <row r="94" ht="21">
      <c r="B94" s="169" t="s">
        <v>176</v>
      </c>
    </row>
    <row r="95" spans="4:9" ht="16.5">
      <c r="D95" s="150" t="s">
        <v>192</v>
      </c>
      <c r="E95" s="150" t="s">
        <v>195</v>
      </c>
      <c r="F95" s="151" t="s">
        <v>193</v>
      </c>
      <c r="G95" s="151" t="s">
        <v>202</v>
      </c>
      <c r="H95" s="152" t="s">
        <v>194</v>
      </c>
      <c r="I95" s="153" t="s">
        <v>197</v>
      </c>
    </row>
    <row r="96" spans="4:9" s="4" customFormat="1" ht="19.5">
      <c r="D96" s="147">
        <f>D42+D59+D70+D83+D91</f>
        <v>20.69996987032489</v>
      </c>
      <c r="E96" s="147">
        <f>E42+E59+E70+E83+E91</f>
        <v>10.256761540823835</v>
      </c>
      <c r="F96" s="148">
        <f>F42+F59+F70+F83+F91+AB34</f>
        <v>21.884397199963644</v>
      </c>
      <c r="G96" s="148">
        <f>G42+G59+G70+G83+G91+(AB34*(D22/E22))</f>
        <v>10.344823384256692</v>
      </c>
      <c r="H96" s="149">
        <f>H42+H59+H70+H83+H91+AE34+AE34</f>
        <v>26.359558630061727</v>
      </c>
      <c r="I96" s="149">
        <f>I42+I59+I70+I83+I91+(AE34*(D24/E24))</f>
        <v>12.299743233868469</v>
      </c>
    </row>
    <row r="97" spans="1:10" s="130" customFormat="1" ht="15">
      <c r="A97" s="235"/>
      <c r="B97" s="235"/>
      <c r="C97" s="235"/>
      <c r="D97" s="235"/>
      <c r="E97" s="235"/>
      <c r="F97" s="235"/>
      <c r="G97" s="235"/>
      <c r="H97" s="235"/>
      <c r="I97" s="235"/>
      <c r="J97" s="235"/>
    </row>
  </sheetData>
  <sheetProtection sheet="1" objects="1" scenarios="1"/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112"/>
  <sheetViews>
    <sheetView zoomScalePageLayoutView="0" workbookViewId="0" topLeftCell="A84">
      <selection activeCell="E118" sqref="E118"/>
    </sheetView>
  </sheetViews>
  <sheetFormatPr defaultColWidth="13.140625" defaultRowHeight="12.75"/>
  <cols>
    <col min="1" max="1" width="0.71875" style="5" customWidth="1"/>
    <col min="2" max="2" width="13.140625" style="5" customWidth="1"/>
    <col min="3" max="3" width="41.57421875" style="5" customWidth="1"/>
    <col min="4" max="4" width="16.8515625" style="5" bestFit="1" customWidth="1"/>
    <col min="5" max="5" width="19.140625" style="5" bestFit="1" customWidth="1"/>
    <col min="6" max="6" width="21.8515625" style="5" bestFit="1" customWidth="1"/>
    <col min="7" max="7" width="24.8515625" style="5" bestFit="1" customWidth="1"/>
    <col min="8" max="8" width="17.00390625" style="4" bestFit="1" customWidth="1"/>
    <col min="9" max="9" width="19.28125" style="4" bestFit="1" customWidth="1"/>
    <col min="10" max="14" width="13.140625" style="5" customWidth="1"/>
    <col min="15" max="18" width="13.140625" style="5" hidden="1" customWidth="1"/>
    <col min="19" max="19" width="11.57421875" style="5" hidden="1" customWidth="1"/>
    <col min="20" max="23" width="13.140625" style="5" hidden="1" customWidth="1"/>
    <col min="24" max="24" width="20.140625" style="5" hidden="1" customWidth="1"/>
    <col min="25" max="26" width="13.140625" style="5" hidden="1" customWidth="1"/>
    <col min="27" max="27" width="14.421875" style="5" hidden="1" customWidth="1"/>
    <col min="28" max="57" width="13.140625" style="5" hidden="1" customWidth="1"/>
    <col min="58" max="104" width="13.140625" style="5" customWidth="1"/>
    <col min="105" max="16384" width="13.140625" style="5" customWidth="1"/>
  </cols>
  <sheetData>
    <row r="1" ht="20.25" customHeight="1" hidden="1">
      <c r="B1" s="6" t="s">
        <v>31</v>
      </c>
    </row>
    <row r="2" ht="12.75" customHeight="1" hidden="1"/>
    <row r="3" ht="15.75" customHeight="1" hidden="1">
      <c r="B3" s="29" t="s">
        <v>0</v>
      </c>
    </row>
    <row r="4" spans="4:25" ht="12.75" customHeight="1" hidden="1">
      <c r="D4" s="21" t="s">
        <v>1</v>
      </c>
      <c r="E4" s="21" t="s">
        <v>2</v>
      </c>
      <c r="F4" s="21" t="s">
        <v>3</v>
      </c>
      <c r="G4" s="21" t="s">
        <v>4</v>
      </c>
      <c r="H4" s="32" t="s">
        <v>5</v>
      </c>
      <c r="I4" s="32" t="s">
        <v>6</v>
      </c>
      <c r="J4" s="4"/>
      <c r="K4" s="4"/>
      <c r="L4" s="4"/>
      <c r="M4" s="4"/>
      <c r="N4" s="4"/>
      <c r="O4" s="4"/>
      <c r="P4" s="4"/>
      <c r="X4" s="5" t="s">
        <v>43</v>
      </c>
      <c r="Y4" s="16">
        <f>(E5+H5)*184</f>
        <v>55200</v>
      </c>
    </row>
    <row r="5" spans="2:25" ht="12.75" customHeight="1" hidden="1">
      <c r="B5" s="8" t="s">
        <v>10</v>
      </c>
      <c r="D5" s="75">
        <f>Leimikkotiedot!D6</f>
        <v>20</v>
      </c>
      <c r="E5" s="75">
        <f>Leimikkotiedot!E6</f>
        <v>180</v>
      </c>
      <c r="F5" s="75">
        <f>Leimikkotiedot!F6</f>
        <v>20</v>
      </c>
      <c r="G5" s="75">
        <f>Leimikkotiedot!G6</f>
        <v>30</v>
      </c>
      <c r="H5" s="75">
        <f>Leimikkotiedot!H6</f>
        <v>120</v>
      </c>
      <c r="I5" s="75">
        <f>Leimikkotiedot!I6</f>
        <v>80</v>
      </c>
      <c r="J5" s="4"/>
      <c r="K5" s="4"/>
      <c r="L5" s="4"/>
      <c r="M5" s="4"/>
      <c r="N5" s="4"/>
      <c r="O5" s="4"/>
      <c r="P5" s="4"/>
      <c r="X5" s="5" t="s">
        <v>42</v>
      </c>
      <c r="Y5" s="5">
        <f>(D5+G5)*94</f>
        <v>4700</v>
      </c>
    </row>
    <row r="6" spans="2:25" ht="12.75" customHeight="1" hidden="1">
      <c r="B6" s="8" t="s">
        <v>7</v>
      </c>
      <c r="D6" s="75">
        <f>Leimikkotiedot!D7</f>
        <v>2</v>
      </c>
      <c r="J6" s="4"/>
      <c r="K6" s="4"/>
      <c r="L6" s="4"/>
      <c r="M6" s="4"/>
      <c r="N6" s="4"/>
      <c r="O6" s="4"/>
      <c r="P6" s="4"/>
      <c r="X6" s="5" t="s">
        <v>44</v>
      </c>
      <c r="Y6" s="5">
        <f>(F5+I5)*85</f>
        <v>8500</v>
      </c>
    </row>
    <row r="7" spans="2:23" ht="12.75" customHeight="1" hidden="1">
      <c r="B7" s="8" t="s">
        <v>8</v>
      </c>
      <c r="D7" s="75">
        <f>Leimikkotiedot!D8</f>
        <v>250</v>
      </c>
      <c r="V7" s="4"/>
      <c r="W7" s="4"/>
    </row>
    <row r="8" spans="2:29" ht="12.75" customHeight="1" hidden="1">
      <c r="B8" s="9" t="s">
        <v>9</v>
      </c>
      <c r="D8" s="75">
        <f>Leimikkotiedot!D9</f>
        <v>45</v>
      </c>
      <c r="F8" s="44">
        <f>((E5+H5)*184/425)*D12</f>
        <v>90.91764705882352</v>
      </c>
      <c r="G8" s="49">
        <f>F8/D20</f>
        <v>0.8179963703380649</v>
      </c>
      <c r="H8" s="59">
        <f>G8+(G10/2)</f>
        <v>0.8715291943932508</v>
      </c>
      <c r="I8" s="4" t="s">
        <v>71</v>
      </c>
      <c r="X8" s="17" t="s">
        <v>45</v>
      </c>
      <c r="Y8" s="18">
        <f>(19.8*(1-D11)-2.441*D11)*(1/(1-D11))</f>
        <v>16.816555555555556</v>
      </c>
      <c r="Z8" s="17" t="s">
        <v>48</v>
      </c>
      <c r="AA8" s="18">
        <f>(19.7*(1-D15)-2.441*D15)*(1/(1-D15))</f>
        <v>18.072666666666667</v>
      </c>
      <c r="AC8" s="18">
        <f>(19.7*(1-D13)-2.441*D13)*(1/(1-D13))</f>
        <v>17.702818181818184</v>
      </c>
    </row>
    <row r="9" spans="2:29" ht="12.75" customHeight="1" hidden="1">
      <c r="B9" s="9"/>
      <c r="D9" s="32"/>
      <c r="F9" s="44">
        <f>((D5+G5)*94/395)*D12</f>
        <v>8.329113924050633</v>
      </c>
      <c r="G9" s="49">
        <f>F9/D20</f>
        <v>0.07493798155156324</v>
      </c>
      <c r="H9" s="59">
        <f>G9+(G10/2)</f>
        <v>0.12847080560674912</v>
      </c>
      <c r="I9" s="4" t="s">
        <v>42</v>
      </c>
      <c r="X9" s="17"/>
      <c r="Y9" s="18"/>
      <c r="Z9" s="17"/>
      <c r="AA9" s="18"/>
      <c r="AC9" s="18"/>
    </row>
    <row r="10" spans="2:29" ht="12.75" customHeight="1" hidden="1">
      <c r="B10" s="9"/>
      <c r="D10" s="32"/>
      <c r="F10" s="44">
        <f>((F5+I5)*85/500)*D12</f>
        <v>11.899999999999999</v>
      </c>
      <c r="G10" s="49">
        <f>F10/D20</f>
        <v>0.10706564811037173</v>
      </c>
      <c r="X10" s="17"/>
      <c r="Y10" s="18"/>
      <c r="Z10" s="17"/>
      <c r="AA10" s="18"/>
      <c r="AC10" s="18"/>
    </row>
    <row r="11" spans="2:29" ht="12.75" customHeight="1" hidden="1">
      <c r="B11" s="8" t="s">
        <v>118</v>
      </c>
      <c r="C11" s="69"/>
      <c r="D11" s="70">
        <f>Leimikkotiedot!F14</f>
        <v>0.55</v>
      </c>
      <c r="H11" s="5"/>
      <c r="I11" s="5"/>
      <c r="X11" s="17" t="s">
        <v>46</v>
      </c>
      <c r="Y11" s="18">
        <f>(20.5*(1-D11)-2.441*D11)*(1/(1-D11))</f>
        <v>17.516555555555556</v>
      </c>
      <c r="Z11" s="17" t="s">
        <v>49</v>
      </c>
      <c r="AA11" s="18">
        <f>(20.4*(1-D15)-2.441*D15)*(1/(1-D15))</f>
        <v>18.772666666666666</v>
      </c>
      <c r="AC11" s="18">
        <f>(20.4*(1-D13)-2.441*D13)*(1/(1-D13))</f>
        <v>18.402818181818184</v>
      </c>
    </row>
    <row r="12" spans="2:29" ht="12.75" customHeight="1" hidden="1">
      <c r="B12" s="8" t="s">
        <v>119</v>
      </c>
      <c r="C12" s="69"/>
      <c r="D12" s="70">
        <f>Leimikkotiedot!F15</f>
        <v>0.7</v>
      </c>
      <c r="H12" s="5"/>
      <c r="I12" s="5"/>
      <c r="X12" s="17" t="s">
        <v>47</v>
      </c>
      <c r="Y12" s="18">
        <f>(19.7*(1-D11)-2.441*D11)*(1/(1-D11))</f>
        <v>16.71655555555555</v>
      </c>
      <c r="Z12" s="17" t="s">
        <v>50</v>
      </c>
      <c r="AA12" s="18">
        <f>(19.7*(1-D15)-2.441*D15)*(1/(1-D15))</f>
        <v>18.072666666666667</v>
      </c>
      <c r="AC12" s="18">
        <f>(19.7*(1-D13)-2.441*D13)*(1/(1-D13))</f>
        <v>17.702818181818184</v>
      </c>
    </row>
    <row r="13" spans="2:27" ht="12.75" customHeight="1" hidden="1">
      <c r="B13" s="8" t="s">
        <v>120</v>
      </c>
      <c r="C13" s="68"/>
      <c r="D13" s="71">
        <f>F31</f>
        <v>0.45</v>
      </c>
      <c r="H13" s="5"/>
      <c r="I13" s="5"/>
      <c r="X13" s="17"/>
      <c r="Y13" s="18"/>
      <c r="Z13" s="17"/>
      <c r="AA13" s="18"/>
    </row>
    <row r="14" spans="2:27" ht="12.75" customHeight="1" hidden="1">
      <c r="B14" s="8" t="s">
        <v>121</v>
      </c>
      <c r="C14" s="68"/>
      <c r="D14" s="71">
        <f>D12*(1-F32)</f>
        <v>0.6859999999999999</v>
      </c>
      <c r="H14" s="5"/>
      <c r="I14" s="5"/>
      <c r="X14" s="17"/>
      <c r="Y14" s="18"/>
      <c r="Z14" s="17"/>
      <c r="AA14" s="18"/>
    </row>
    <row r="15" spans="2:27" ht="12.75" customHeight="1" hidden="1">
      <c r="B15" s="8" t="s">
        <v>122</v>
      </c>
      <c r="C15" s="67"/>
      <c r="D15" s="73">
        <f>Leimikkotiedot!F18</f>
        <v>0.4</v>
      </c>
      <c r="H15" s="5"/>
      <c r="I15" s="5"/>
      <c r="X15" s="17"/>
      <c r="Y15" s="18"/>
      <c r="Z15" s="17"/>
      <c r="AA15" s="18"/>
    </row>
    <row r="16" spans="2:27" ht="12.75" customHeight="1" hidden="1">
      <c r="B16" s="8" t="s">
        <v>123</v>
      </c>
      <c r="C16" s="67"/>
      <c r="D16" s="73">
        <f>(1-Leimikkotiedot!F19)*D12</f>
        <v>0.5599999999999999</v>
      </c>
      <c r="H16" s="5"/>
      <c r="I16" s="5"/>
      <c r="X16" s="17"/>
      <c r="Y16" s="18"/>
      <c r="Z16" s="17"/>
      <c r="AA16" s="18"/>
    </row>
    <row r="17" spans="2:6" ht="12.75" customHeight="1" hidden="1">
      <c r="B17" s="9" t="s">
        <v>29</v>
      </c>
      <c r="C17" s="11"/>
      <c r="D17" s="27">
        <f>Leimikkotiedot!F20</f>
        <v>15</v>
      </c>
      <c r="F17" s="16"/>
    </row>
    <row r="18" spans="2:4" ht="12.75" customHeight="1" hidden="1">
      <c r="B18" s="9"/>
      <c r="D18" s="4"/>
    </row>
    <row r="19" spans="2:7" ht="12.75" customHeight="1" hidden="1">
      <c r="B19" s="9"/>
      <c r="D19" s="62" t="s">
        <v>106</v>
      </c>
      <c r="E19" s="63" t="s">
        <v>107</v>
      </c>
      <c r="F19" s="63" t="s">
        <v>108</v>
      </c>
      <c r="G19" s="63" t="s">
        <v>109</v>
      </c>
    </row>
    <row r="20" spans="2:7" ht="16.5" customHeight="1" hidden="1">
      <c r="B20" s="26" t="s">
        <v>21</v>
      </c>
      <c r="C20" s="11"/>
      <c r="D20" s="27">
        <f>((E5+H5)*184/425+(D5+G5)*94/395+(F5+I5)*85/500)*D12</f>
        <v>111.14676098287416</v>
      </c>
      <c r="E20" s="27">
        <f>(Y4*Y8+Y5*Y11+Y6*Y12)*0.278*D12*0.001</f>
        <v>224.31394103999997</v>
      </c>
      <c r="F20" s="27">
        <f>D20/D6</f>
        <v>55.57338049143708</v>
      </c>
      <c r="G20" s="27">
        <f>E20/D6</f>
        <v>112.15697051999999</v>
      </c>
    </row>
    <row r="21" spans="2:7" ht="16.5" customHeight="1" hidden="1">
      <c r="B21" s="26"/>
      <c r="C21" s="11"/>
      <c r="D21" s="64" t="s">
        <v>110</v>
      </c>
      <c r="E21" s="64" t="s">
        <v>111</v>
      </c>
      <c r="F21" s="64" t="s">
        <v>112</v>
      </c>
      <c r="G21" s="64" t="s">
        <v>113</v>
      </c>
    </row>
    <row r="22" spans="2:7" ht="16.5" customHeight="1" hidden="1">
      <c r="B22" s="26"/>
      <c r="C22" s="11"/>
      <c r="D22" s="74">
        <f>((E5+H5)*184/425+(D5+G5)*94/395+(F5+I5)*85/500)*(D14)</f>
        <v>108.92382576321667</v>
      </c>
      <c r="E22" s="27">
        <f>(Y4*AC8+Y5*AC11+Y6*AC12)*0.278*(D14)*0.001</f>
        <v>231.55055232756365</v>
      </c>
      <c r="F22" s="74">
        <f>D22/D6</f>
        <v>54.461912881608335</v>
      </c>
      <c r="G22" s="74">
        <f>E22/D6</f>
        <v>115.77527616378183</v>
      </c>
    </row>
    <row r="23" spans="2:16" ht="16.5" customHeight="1" hidden="1">
      <c r="B23" s="26"/>
      <c r="C23" s="11"/>
      <c r="D23" s="66" t="s">
        <v>114</v>
      </c>
      <c r="E23" s="65" t="s">
        <v>115</v>
      </c>
      <c r="F23" s="65" t="s">
        <v>116</v>
      </c>
      <c r="G23" s="65" t="s">
        <v>117</v>
      </c>
      <c r="H23" s="44"/>
      <c r="I23" s="44"/>
      <c r="J23" s="44"/>
      <c r="K23" s="44"/>
      <c r="L23" s="44"/>
      <c r="M23" s="44"/>
      <c r="N23" s="44"/>
      <c r="O23" s="44"/>
      <c r="P23" s="44"/>
    </row>
    <row r="24" spans="2:16" ht="16.5" customHeight="1" hidden="1">
      <c r="B24" s="26"/>
      <c r="C24" s="11"/>
      <c r="D24" s="27">
        <f>((E5+H5)*184/425+(D5+G5)*94/395+(F5+I5)*85/500)*(D16)</f>
        <v>88.91740878629932</v>
      </c>
      <c r="E24" s="27">
        <f>(Y4*AA8+Y5*AA11+Y6*AA12)*0.278*(D16)*0.001</f>
        <v>192.959195072</v>
      </c>
      <c r="F24" s="27">
        <f>D24/D6</f>
        <v>44.45870439314966</v>
      </c>
      <c r="G24" s="27">
        <f>E24/D6</f>
        <v>96.479597536</v>
      </c>
      <c r="H24" s="44"/>
      <c r="I24" s="44"/>
      <c r="J24" s="44"/>
      <c r="K24" s="44"/>
      <c r="L24" s="44"/>
      <c r="M24" s="44"/>
      <c r="N24" s="44"/>
      <c r="O24" s="44"/>
      <c r="P24" s="44"/>
    </row>
    <row r="25" spans="2:16" ht="14.25" customHeight="1" hidden="1">
      <c r="B25" s="26"/>
      <c r="C25" s="11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</row>
    <row r="26" spans="1:16" ht="16.5">
      <c r="A26" s="229"/>
      <c r="B26" s="225"/>
      <c r="C26" s="226"/>
      <c r="D26" s="227"/>
      <c r="E26" s="227"/>
      <c r="F26" s="227"/>
      <c r="G26" s="227"/>
      <c r="H26" s="228"/>
      <c r="I26" s="228"/>
      <c r="J26" s="228"/>
      <c r="K26" s="44"/>
      <c r="L26" s="44"/>
      <c r="M26" s="44"/>
      <c r="N26" s="44"/>
      <c r="O26" s="44"/>
      <c r="P26" s="44"/>
    </row>
    <row r="27" spans="2:16" s="4" customFormat="1" ht="29.25">
      <c r="B27" s="180" t="s">
        <v>244</v>
      </c>
      <c r="C27" s="39"/>
      <c r="D27" s="45"/>
      <c r="E27" s="45"/>
      <c r="F27" s="77"/>
      <c r="G27" s="77"/>
      <c r="H27" s="44"/>
      <c r="I27" s="44"/>
      <c r="J27" s="44"/>
      <c r="K27" s="44"/>
      <c r="L27" s="44"/>
      <c r="M27" s="44"/>
      <c r="N27" s="44"/>
      <c r="O27" s="44"/>
      <c r="P27" s="44"/>
    </row>
    <row r="28" spans="1:16" s="19" customFormat="1" ht="16.5" customHeight="1">
      <c r="A28" s="222"/>
      <c r="B28" s="221"/>
      <c r="C28" s="222"/>
      <c r="D28" s="223"/>
      <c r="E28" s="223"/>
      <c r="F28" s="224"/>
      <c r="G28" s="223"/>
      <c r="H28" s="223"/>
      <c r="I28" s="223"/>
      <c r="J28" s="223"/>
      <c r="K28" s="30"/>
      <c r="L28" s="30"/>
      <c r="M28" s="30"/>
      <c r="N28" s="30"/>
      <c r="O28" s="30"/>
      <c r="P28" s="30"/>
    </row>
    <row r="29" spans="2:16" s="19" customFormat="1" ht="12.75" customHeight="1">
      <c r="B29" s="126"/>
      <c r="D29" s="30"/>
      <c r="E29" s="30"/>
      <c r="F29" s="197"/>
      <c r="G29" s="30"/>
      <c r="H29" s="30"/>
      <c r="I29" s="30"/>
      <c r="J29" s="30"/>
      <c r="K29" s="30"/>
      <c r="L29" s="30"/>
      <c r="M29" s="30"/>
      <c r="N29" s="30"/>
      <c r="O29" s="30"/>
      <c r="P29" s="30"/>
    </row>
    <row r="30" spans="2:16" s="39" customFormat="1" ht="15" customHeight="1">
      <c r="B30" s="198"/>
      <c r="C30" s="199"/>
      <c r="D30" s="143" t="s">
        <v>53</v>
      </c>
      <c r="E30" s="143" t="s">
        <v>22</v>
      </c>
      <c r="F30" s="144" t="s">
        <v>54</v>
      </c>
      <c r="G30" s="44"/>
      <c r="H30" s="44"/>
      <c r="I30" s="44"/>
      <c r="J30" s="44"/>
      <c r="K30" s="44"/>
      <c r="L30" s="44"/>
      <c r="M30" s="44"/>
      <c r="N30" s="44"/>
      <c r="O30" s="44"/>
      <c r="P30" s="44"/>
    </row>
    <row r="31" spans="2:16" s="39" customFormat="1" ht="18.75" customHeight="1" thickBot="1">
      <c r="B31" s="163" t="s">
        <v>168</v>
      </c>
      <c r="C31" s="164"/>
      <c r="D31" s="347"/>
      <c r="E31" s="279">
        <v>0.45</v>
      </c>
      <c r="F31" s="276">
        <f>IF(COUNTA(C31:D31)=1,D31,E31)</f>
        <v>0.45</v>
      </c>
      <c r="G31" s="44"/>
      <c r="H31" s="44"/>
      <c r="I31" s="44"/>
      <c r="J31" s="44"/>
      <c r="K31" s="44"/>
      <c r="L31" s="44"/>
      <c r="M31" s="44"/>
      <c r="N31" s="44"/>
      <c r="O31" s="44"/>
      <c r="P31" s="44"/>
    </row>
    <row r="32" spans="2:31" s="39" customFormat="1" ht="19.5" customHeight="1" thickBot="1" thickTop="1">
      <c r="B32" s="119" t="s">
        <v>141</v>
      </c>
      <c r="C32" s="145"/>
      <c r="D32" s="318"/>
      <c r="E32" s="280">
        <v>0.02</v>
      </c>
      <c r="F32" s="277">
        <f>IF(COUNTA(C32:D32)=1,D32,E32)</f>
        <v>0.02</v>
      </c>
      <c r="G32" s="44"/>
      <c r="H32" s="44"/>
      <c r="I32" s="44"/>
      <c r="J32" s="44"/>
      <c r="K32" s="44"/>
      <c r="L32" s="44"/>
      <c r="M32" s="44"/>
      <c r="N32" s="44"/>
      <c r="O32" s="44"/>
      <c r="P32" s="44"/>
      <c r="W32" s="5"/>
      <c r="X32" s="5" t="s">
        <v>143</v>
      </c>
      <c r="Y32" s="5"/>
      <c r="Z32" s="5"/>
      <c r="AA32" s="5"/>
      <c r="AB32" s="5"/>
      <c r="AC32" s="5"/>
      <c r="AD32" s="5"/>
      <c r="AE32" s="5"/>
    </row>
    <row r="33" spans="4:31" s="11" customFormat="1" ht="12.75" customHeight="1" thickTop="1"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W33" s="5"/>
      <c r="X33" s="85" t="s">
        <v>151</v>
      </c>
      <c r="Y33" s="86" t="s">
        <v>147</v>
      </c>
      <c r="Z33" s="86" t="s">
        <v>148</v>
      </c>
      <c r="AA33" s="86" t="s">
        <v>149</v>
      </c>
      <c r="AB33" s="85" t="s">
        <v>150</v>
      </c>
      <c r="AC33" s="81" t="s">
        <v>144</v>
      </c>
      <c r="AD33" s="81" t="s">
        <v>149</v>
      </c>
      <c r="AE33" s="82" t="s">
        <v>150</v>
      </c>
    </row>
    <row r="34" spans="2:31" ht="19.5">
      <c r="B34" s="101" t="s">
        <v>100</v>
      </c>
      <c r="W34" s="5" t="s">
        <v>145</v>
      </c>
      <c r="X34" s="90">
        <f>(F42-F38)+F59+F70+F83</f>
        <v>17.640593134403233</v>
      </c>
      <c r="Y34" s="88">
        <f>POWER(1+Leimikkotiedot!F23,Z34)</f>
        <v>1.0245758393924287</v>
      </c>
      <c r="Z34" s="89">
        <f>Leimikkotiedot!F22/12</f>
        <v>0.4166666666666667</v>
      </c>
      <c r="AA34" s="90">
        <f>X34*Y34</f>
        <v>18.074125518061507</v>
      </c>
      <c r="AB34" s="90">
        <f>AA34-X34</f>
        <v>0.4335323836582745</v>
      </c>
      <c r="AC34" s="83">
        <f>(H42-F38)+H59+H70+H83</f>
        <v>21.757541902479918</v>
      </c>
      <c r="AD34" s="84">
        <f>AC34*Y34</f>
        <v>22.292251757849304</v>
      </c>
      <c r="AE34" s="84">
        <f>AD34-AC34</f>
        <v>0.5347098553693854</v>
      </c>
    </row>
    <row r="35" spans="2:31" ht="16.5">
      <c r="B35" s="114"/>
      <c r="C35" s="114"/>
      <c r="D35" s="143" t="s">
        <v>53</v>
      </c>
      <c r="E35" s="143" t="s">
        <v>22</v>
      </c>
      <c r="F35" s="144" t="s">
        <v>54</v>
      </c>
      <c r="W35" s="17"/>
      <c r="X35" s="87"/>
      <c r="Y35" s="88"/>
      <c r="Z35" s="89"/>
      <c r="AA35" s="90"/>
      <c r="AB35" s="90"/>
      <c r="AC35" s="83"/>
      <c r="AD35" s="84"/>
      <c r="AE35" s="84"/>
    </row>
    <row r="36" spans="2:7" ht="20.25" thickBot="1">
      <c r="B36" s="116" t="s">
        <v>198</v>
      </c>
      <c r="C36" s="124"/>
      <c r="D36" s="315"/>
      <c r="E36" s="323">
        <v>0</v>
      </c>
      <c r="F36" s="325">
        <f>IF(COUNTA(C36:D36)=1,D36,E36)</f>
        <v>0</v>
      </c>
      <c r="G36" s="4"/>
    </row>
    <row r="37" spans="2:7" ht="21" thickBot="1" thickTop="1">
      <c r="B37" s="119" t="s">
        <v>199</v>
      </c>
      <c r="C37" s="125"/>
      <c r="D37" s="316"/>
      <c r="E37" s="324">
        <f>2/6</f>
        <v>0.3333333333333333</v>
      </c>
      <c r="F37" s="326">
        <f>IF(COUNTA(C37:D37)=1,D37,E37)</f>
        <v>0.3333333333333333</v>
      </c>
      <c r="G37" s="4"/>
    </row>
    <row r="38" spans="2:7" ht="21" thickBot="1" thickTop="1">
      <c r="B38" s="119" t="s">
        <v>200</v>
      </c>
      <c r="C38" s="125"/>
      <c r="D38" s="316"/>
      <c r="E38" s="324">
        <v>2</v>
      </c>
      <c r="F38" s="326">
        <f>IF(COUNTA(C38:D38)=1,D38,E38)</f>
        <v>2</v>
      </c>
      <c r="G38" s="4"/>
    </row>
    <row r="39" spans="2:7" ht="21" thickBot="1" thickTop="1">
      <c r="B39" s="145" t="s">
        <v>201</v>
      </c>
      <c r="C39" s="125"/>
      <c r="D39" s="316"/>
      <c r="E39" s="324">
        <v>0</v>
      </c>
      <c r="F39" s="326">
        <f>IF(COUNTA(C39:D39)=1,D39,E39)</f>
        <v>0</v>
      </c>
      <c r="G39" s="31"/>
    </row>
    <row r="40" spans="2:7" ht="13.5" thickTop="1">
      <c r="B40" s="21"/>
      <c r="D40" s="32"/>
      <c r="E40" s="32"/>
      <c r="F40" s="33"/>
      <c r="G40" s="31"/>
    </row>
    <row r="41" spans="2:9" ht="16.5">
      <c r="B41" s="32"/>
      <c r="C41" s="4"/>
      <c r="D41" s="150" t="s">
        <v>192</v>
      </c>
      <c r="E41" s="150" t="s">
        <v>195</v>
      </c>
      <c r="F41" s="151" t="s">
        <v>193</v>
      </c>
      <c r="G41" s="151" t="s">
        <v>202</v>
      </c>
      <c r="H41" s="152" t="s">
        <v>194</v>
      </c>
      <c r="I41" s="153" t="s">
        <v>197</v>
      </c>
    </row>
    <row r="42" spans="2:9" s="4" customFormat="1" ht="19.5">
      <c r="B42" s="181" t="s">
        <v>174</v>
      </c>
      <c r="D42" s="147">
        <f>F36+F37+F38</f>
        <v>2.3333333333333335</v>
      </c>
      <c r="E42" s="147">
        <f>D42*(D20/E20)</f>
        <v>1.156158378257581</v>
      </c>
      <c r="F42" s="148">
        <f>F36+((F37)*(D12/D14))+F38+F39</f>
        <v>2.3401360544217686</v>
      </c>
      <c r="G42" s="148">
        <f>F42*(D22/E22)</f>
        <v>1.1008247196641012</v>
      </c>
      <c r="H42" s="149">
        <f>(F37)*(D12/D16)+F36+F38+F39</f>
        <v>2.4166666666666665</v>
      </c>
      <c r="I42" s="149">
        <f>H42*(D24/E24)</f>
        <v>1.1136226901239017</v>
      </c>
    </row>
    <row r="43" spans="1:10" s="4" customFormat="1" ht="15.75">
      <c r="A43" s="231"/>
      <c r="B43" s="230"/>
      <c r="C43" s="231"/>
      <c r="D43" s="232"/>
      <c r="E43" s="232"/>
      <c r="F43" s="233"/>
      <c r="G43" s="234"/>
      <c r="H43" s="231"/>
      <c r="I43" s="231"/>
      <c r="J43" s="231"/>
    </row>
    <row r="44" spans="2:7" ht="12.75">
      <c r="B44" s="21"/>
      <c r="D44" s="32"/>
      <c r="E44" s="32"/>
      <c r="F44" s="33"/>
      <c r="G44" s="31"/>
    </row>
    <row r="45" spans="2:7" ht="19.5">
      <c r="B45" s="101" t="s">
        <v>67</v>
      </c>
      <c r="D45" s="32"/>
      <c r="E45" s="32"/>
      <c r="F45" s="33"/>
      <c r="G45" s="31"/>
    </row>
    <row r="46" spans="2:23" ht="16.5">
      <c r="B46" s="200"/>
      <c r="C46" s="114"/>
      <c r="D46" s="143" t="s">
        <v>53</v>
      </c>
      <c r="E46" s="143" t="s">
        <v>22</v>
      </c>
      <c r="F46" s="144" t="s">
        <v>54</v>
      </c>
      <c r="G46" s="31"/>
      <c r="T46" s="50" t="s">
        <v>72</v>
      </c>
      <c r="U46" s="14" t="s">
        <v>73</v>
      </c>
      <c r="V46" s="13" t="s">
        <v>74</v>
      </c>
      <c r="W46" s="14" t="s">
        <v>75</v>
      </c>
    </row>
    <row r="47" spans="2:23" ht="20.25" thickBot="1">
      <c r="B47" s="164" t="s">
        <v>216</v>
      </c>
      <c r="C47" s="124"/>
      <c r="D47" s="315"/>
      <c r="E47" s="337">
        <v>78</v>
      </c>
      <c r="F47" s="329">
        <f aca="true" t="shared" si="0" ref="F47:F56">IF(COUNTA(C47:D47)=1,D47,E47)</f>
        <v>78</v>
      </c>
      <c r="G47" s="31"/>
      <c r="S47" s="17" t="s">
        <v>81</v>
      </c>
      <c r="T47" s="18">
        <f>F52</f>
        <v>20.2</v>
      </c>
      <c r="U47" s="18">
        <f>F53</f>
        <v>18.3</v>
      </c>
      <c r="V47" s="18">
        <f>F54</f>
        <v>21.2</v>
      </c>
      <c r="W47" s="18">
        <f>F55</f>
        <v>19.2</v>
      </c>
    </row>
    <row r="48" spans="2:19" ht="21" thickBot="1" thickTop="1">
      <c r="B48" s="119" t="s">
        <v>179</v>
      </c>
      <c r="C48" s="125"/>
      <c r="D48" s="316"/>
      <c r="E48" s="322">
        <v>0.59</v>
      </c>
      <c r="F48" s="328">
        <f t="shared" si="0"/>
        <v>0.59</v>
      </c>
      <c r="G48" s="31"/>
      <c r="S48" s="17"/>
    </row>
    <row r="49" spans="2:19" ht="21" thickBot="1" thickTop="1">
      <c r="B49" s="119" t="s">
        <v>180</v>
      </c>
      <c r="C49" s="125"/>
      <c r="D49" s="316"/>
      <c r="E49" s="322">
        <v>0.47</v>
      </c>
      <c r="F49" s="328">
        <f t="shared" si="0"/>
        <v>0.47</v>
      </c>
      <c r="G49" s="31"/>
      <c r="S49" s="17"/>
    </row>
    <row r="50" spans="2:19" ht="21" thickBot="1" thickTop="1">
      <c r="B50" s="119" t="s">
        <v>181</v>
      </c>
      <c r="C50" s="125"/>
      <c r="D50" s="316"/>
      <c r="E50" s="322">
        <v>0.44</v>
      </c>
      <c r="F50" s="328">
        <f t="shared" si="0"/>
        <v>0.44</v>
      </c>
      <c r="G50" s="31"/>
      <c r="S50" s="17"/>
    </row>
    <row r="51" spans="2:19" ht="21" thickBot="1" thickTop="1">
      <c r="B51" s="119" t="s">
        <v>182</v>
      </c>
      <c r="C51" s="125"/>
      <c r="D51" s="316"/>
      <c r="E51" s="322">
        <v>0.35</v>
      </c>
      <c r="F51" s="328">
        <f t="shared" si="0"/>
        <v>0.35</v>
      </c>
      <c r="G51" s="31"/>
      <c r="S51" s="17"/>
    </row>
    <row r="52" spans="2:19" ht="21" thickBot="1" thickTop="1">
      <c r="B52" s="119" t="s">
        <v>183</v>
      </c>
      <c r="C52" s="125"/>
      <c r="D52" s="316"/>
      <c r="E52" s="321">
        <v>20.2</v>
      </c>
      <c r="F52" s="278">
        <f t="shared" si="0"/>
        <v>20.2</v>
      </c>
      <c r="G52" s="31"/>
      <c r="S52" s="17"/>
    </row>
    <row r="53" spans="2:19" ht="21" thickBot="1" thickTop="1">
      <c r="B53" s="119" t="s">
        <v>184</v>
      </c>
      <c r="C53" s="125"/>
      <c r="D53" s="316"/>
      <c r="E53" s="321">
        <v>18.3</v>
      </c>
      <c r="F53" s="278">
        <f t="shared" si="0"/>
        <v>18.3</v>
      </c>
      <c r="G53" s="31"/>
      <c r="S53" s="17"/>
    </row>
    <row r="54" spans="2:19" ht="21" thickBot="1" thickTop="1">
      <c r="B54" s="119" t="s">
        <v>185</v>
      </c>
      <c r="C54" s="125"/>
      <c r="D54" s="316"/>
      <c r="E54" s="321">
        <v>21.2</v>
      </c>
      <c r="F54" s="278">
        <f t="shared" si="0"/>
        <v>21.2</v>
      </c>
      <c r="G54" s="31"/>
      <c r="S54" s="17"/>
    </row>
    <row r="55" spans="2:19" ht="21" thickBot="1" thickTop="1">
      <c r="B55" s="119" t="s">
        <v>186</v>
      </c>
      <c r="C55" s="125"/>
      <c r="D55" s="316"/>
      <c r="E55" s="321">
        <v>19.2</v>
      </c>
      <c r="F55" s="278">
        <f t="shared" si="0"/>
        <v>19.2</v>
      </c>
      <c r="G55" s="31"/>
      <c r="S55" s="17"/>
    </row>
    <row r="56" spans="2:19" ht="21" thickBot="1" thickTop="1">
      <c r="B56" s="145" t="s">
        <v>214</v>
      </c>
      <c r="C56" s="125"/>
      <c r="D56" s="316"/>
      <c r="E56" s="321">
        <v>78</v>
      </c>
      <c r="F56" s="278">
        <f t="shared" si="0"/>
        <v>78</v>
      </c>
      <c r="G56" s="31"/>
      <c r="S56" s="17"/>
    </row>
    <row r="57" spans="2:23" ht="13.5" thickTop="1">
      <c r="B57" s="21"/>
      <c r="C57" s="4"/>
      <c r="D57" s="32"/>
      <c r="E57" s="32"/>
      <c r="F57" s="33"/>
      <c r="G57" s="31"/>
      <c r="S57" s="17" t="s">
        <v>83</v>
      </c>
      <c r="T57" s="36">
        <f>F48</f>
        <v>0.59</v>
      </c>
      <c r="U57" s="36">
        <f>F49</f>
        <v>0.47</v>
      </c>
      <c r="V57" s="36">
        <f>F50</f>
        <v>0.44</v>
      </c>
      <c r="W57" s="36">
        <f>F51</f>
        <v>0.35</v>
      </c>
    </row>
    <row r="58" spans="2:9" ht="16.5">
      <c r="B58" s="21"/>
      <c r="C58" s="4"/>
      <c r="D58" s="150" t="s">
        <v>192</v>
      </c>
      <c r="E58" s="150" t="s">
        <v>195</v>
      </c>
      <c r="F58" s="151" t="s">
        <v>193</v>
      </c>
      <c r="G58" s="151" t="s">
        <v>202</v>
      </c>
      <c r="H58" s="152" t="s">
        <v>194</v>
      </c>
      <c r="I58" s="153" t="s">
        <v>197</v>
      </c>
    </row>
    <row r="59" spans="2:9" s="4" customFormat="1" ht="20.25">
      <c r="B59" s="181" t="s">
        <v>70</v>
      </c>
      <c r="D59" s="147">
        <f>(F47/((H8*F48*F52)+(H9*F50*F54)))+F56/D20</f>
        <v>7.434467574336067</v>
      </c>
      <c r="E59" s="147">
        <f>D59*(D20/E20)</f>
        <v>3.6837522745512685</v>
      </c>
      <c r="F59" s="146">
        <f>D59*(D12/D14)</f>
        <v>7.586191402383743</v>
      </c>
      <c r="G59" s="146">
        <f>F59*(D22/E22)</f>
        <v>3.568624571237072</v>
      </c>
      <c r="H59" s="149">
        <f>(F47/((H8*F49*F53)+(H9*F51*F55)))+F56/D24</f>
        <v>10.20809157437512</v>
      </c>
      <c r="I59" s="149">
        <f>H59*(D24/E24)</f>
        <v>4.703984441415209</v>
      </c>
    </row>
    <row r="60" spans="1:10" s="4" customFormat="1" ht="15.75">
      <c r="A60" s="231"/>
      <c r="B60" s="230"/>
      <c r="C60" s="231"/>
      <c r="D60" s="232"/>
      <c r="E60" s="232"/>
      <c r="F60" s="233"/>
      <c r="G60" s="234"/>
      <c r="H60" s="231"/>
      <c r="I60" s="231"/>
      <c r="J60" s="231"/>
    </row>
    <row r="61" spans="2:7" s="4" customFormat="1" ht="12.75">
      <c r="B61" s="32"/>
      <c r="D61" s="32"/>
      <c r="E61" s="32"/>
      <c r="F61" s="33"/>
      <c r="G61" s="31"/>
    </row>
    <row r="62" ht="19.5">
      <c r="B62" s="101" t="s">
        <v>11</v>
      </c>
    </row>
    <row r="63" spans="2:6" ht="16.5">
      <c r="B63" s="114"/>
      <c r="C63" s="114"/>
      <c r="D63" s="143" t="s">
        <v>53</v>
      </c>
      <c r="E63" s="143" t="s">
        <v>22</v>
      </c>
      <c r="F63" s="144" t="s">
        <v>54</v>
      </c>
    </row>
    <row r="64" spans="2:8" ht="20.25" thickBot="1">
      <c r="B64" s="116" t="s">
        <v>76</v>
      </c>
      <c r="C64" s="164"/>
      <c r="D64" s="315"/>
      <c r="E64" s="319">
        <v>20</v>
      </c>
      <c r="F64" s="329">
        <f>IF(COUNTA(C64:D64)=1,D64,E64)</f>
        <v>20</v>
      </c>
      <c r="G64" s="4"/>
      <c r="H64" s="60"/>
    </row>
    <row r="65" spans="2:8" ht="21" thickBot="1" thickTop="1">
      <c r="B65" s="238" t="s">
        <v>217</v>
      </c>
      <c r="C65" s="165"/>
      <c r="D65" s="317"/>
      <c r="E65" s="320">
        <v>1.2</v>
      </c>
      <c r="F65" s="327">
        <f>IF(COUNTA(C65:D65)=1,D65,E65)</f>
        <v>1.2</v>
      </c>
      <c r="G65" s="4"/>
      <c r="H65" s="60"/>
    </row>
    <row r="66" spans="2:23" ht="21" thickBot="1" thickTop="1">
      <c r="B66" s="119" t="s">
        <v>203</v>
      </c>
      <c r="C66" s="145"/>
      <c r="D66" s="316"/>
      <c r="E66" s="321">
        <v>60</v>
      </c>
      <c r="F66" s="278">
        <f>IF(COUNTA(C66:D66)=1,D66,E66)</f>
        <v>60</v>
      </c>
      <c r="G66" s="4"/>
      <c r="I66" s="39"/>
      <c r="S66" s="13" t="s">
        <v>80</v>
      </c>
      <c r="T66" s="14" t="s">
        <v>80</v>
      </c>
      <c r="U66" s="13" t="s">
        <v>78</v>
      </c>
      <c r="V66" s="15" t="s">
        <v>79</v>
      </c>
      <c r="W66" s="96" t="s">
        <v>162</v>
      </c>
    </row>
    <row r="67" spans="2:23" ht="21" thickBot="1" thickTop="1">
      <c r="B67" s="145" t="s">
        <v>214</v>
      </c>
      <c r="C67" s="125"/>
      <c r="D67" s="316"/>
      <c r="E67" s="321">
        <v>60</v>
      </c>
      <c r="F67" s="278">
        <f>IF(COUNTA(C67:D67)=1,D67,E67)</f>
        <v>60</v>
      </c>
      <c r="G67" s="4"/>
      <c r="S67" s="18">
        <f>(D20/D6)/(100/D17)</f>
        <v>8.336007073715562</v>
      </c>
      <c r="T67" s="18">
        <f>(D24/D6)/(100/D17)</f>
        <v>6.668805658972449</v>
      </c>
      <c r="U67" s="18">
        <f>F64*(F48*H8+F50*H9)</f>
        <v>11.414587583179753</v>
      </c>
      <c r="V67" s="18">
        <f>F64*(F49*H8+F51*H9)</f>
        <v>9.0916700665438</v>
      </c>
      <c r="W67" s="5">
        <f>38/50</f>
        <v>0.76</v>
      </c>
    </row>
    <row r="68" spans="2:7" ht="13.5" thickTop="1">
      <c r="B68" s="17"/>
      <c r="D68" s="4"/>
      <c r="E68" s="4"/>
      <c r="F68" s="4"/>
      <c r="G68" s="4"/>
    </row>
    <row r="69" spans="4:26" ht="16.5">
      <c r="D69" s="150" t="s">
        <v>192</v>
      </c>
      <c r="E69" s="150" t="s">
        <v>195</v>
      </c>
      <c r="F69" s="151" t="s">
        <v>193</v>
      </c>
      <c r="G69" s="151" t="s">
        <v>202</v>
      </c>
      <c r="H69" s="152" t="s">
        <v>194</v>
      </c>
      <c r="I69" s="153" t="s">
        <v>197</v>
      </c>
      <c r="Q69" s="13" t="s">
        <v>37</v>
      </c>
      <c r="R69" s="14" t="s">
        <v>37</v>
      </c>
      <c r="S69" s="13" t="s">
        <v>33</v>
      </c>
      <c r="T69" s="35" t="s">
        <v>33</v>
      </c>
      <c r="U69" s="13" t="s">
        <v>34</v>
      </c>
      <c r="V69" s="14" t="s">
        <v>34</v>
      </c>
      <c r="W69" s="13" t="s">
        <v>35</v>
      </c>
      <c r="X69" s="14" t="s">
        <v>35</v>
      </c>
      <c r="Y69" s="13" t="s">
        <v>82</v>
      </c>
      <c r="Z69" s="14" t="s">
        <v>82</v>
      </c>
    </row>
    <row r="70" spans="2:26" s="4" customFormat="1" ht="20.25">
      <c r="B70" s="158" t="s">
        <v>69</v>
      </c>
      <c r="D70" s="147">
        <f>(((Q70+S70+U70+W70+Y70)*F65)/60)*F66+F67/Leimikkotiedot!C32</f>
        <v>3.826621288209844</v>
      </c>
      <c r="E70" s="147">
        <f>D70*(D20/E20)</f>
        <v>1.8960772554782694</v>
      </c>
      <c r="F70" s="146">
        <f>D70*(D12/D14)+F67/Leimikkotiedot!C33</f>
        <v>4.504523152653183</v>
      </c>
      <c r="G70" s="146">
        <f>F70*(D22/E22)</f>
        <v>2.1189752738394314</v>
      </c>
      <c r="H70" s="149">
        <f>(((R70+T70+V70+X70+Z70)*F65)/60)*F66+F67/Leimikkotiedot!C34</f>
        <v>4.7227709065192975</v>
      </c>
      <c r="I70" s="149">
        <f>H70*(D24/E24)</f>
        <v>2.1762971758994145</v>
      </c>
      <c r="Q70" s="201">
        <f>0.3/(T57*H8+V57*H9)</f>
        <v>0.5256431698716342</v>
      </c>
      <c r="R70" s="201">
        <f>0.3/(U57*H8+W57*H9)</f>
        <v>0.6599447577930971</v>
      </c>
      <c r="S70" s="201">
        <f>0.039/(T57*H8+V57*H9)+0.25+2.44/S67</f>
        <v>0.6110396976735724</v>
      </c>
      <c r="T70" s="162">
        <f>0.039/(U57*H8+W57*H9)+0.25+2.44/T67</f>
        <v>0.7016754255009277</v>
      </c>
      <c r="U70" s="160">
        <f>(0.5+0.018*(2*D7*0.53))/U67</f>
        <v>0.4616899175372519</v>
      </c>
      <c r="V70" s="160">
        <f>(0.5+0.018*(2*D7*0.53))/V67</f>
        <v>0.5796514789282703</v>
      </c>
      <c r="W70" s="160">
        <f>(0.87+0.019*(2*D7*0.47))/(U67*W67)</f>
        <v>0.6149794542248176</v>
      </c>
      <c r="X70" s="160">
        <f>(0.87+0.019*(2*D7*0.47))/(V67*W67)</f>
        <v>0.7721064216724064</v>
      </c>
      <c r="Y70" s="201">
        <f>Q70</f>
        <v>0.5256431698716342</v>
      </c>
      <c r="Z70" s="201">
        <f>R70</f>
        <v>0.6599447577930971</v>
      </c>
    </row>
    <row r="71" spans="1:10" s="130" customFormat="1" ht="15">
      <c r="A71" s="235"/>
      <c r="B71" s="235"/>
      <c r="C71" s="235"/>
      <c r="D71" s="235"/>
      <c r="E71" s="235"/>
      <c r="F71" s="235"/>
      <c r="G71" s="235"/>
      <c r="H71" s="235"/>
      <c r="I71" s="235"/>
      <c r="J71" s="235"/>
    </row>
    <row r="72" s="4" customFormat="1" ht="12.75"/>
    <row r="73" spans="2:9" ht="19.5">
      <c r="B73" s="101" t="s">
        <v>237</v>
      </c>
      <c r="I73" s="57"/>
    </row>
    <row r="74" spans="2:20" ht="16.5">
      <c r="B74" s="114"/>
      <c r="C74" s="114"/>
      <c r="D74" s="143" t="s">
        <v>53</v>
      </c>
      <c r="E74" s="143" t="s">
        <v>22</v>
      </c>
      <c r="F74" s="144" t="s">
        <v>54</v>
      </c>
      <c r="J74" s="4"/>
      <c r="K74" s="4"/>
      <c r="L74" s="4"/>
      <c r="M74" s="4"/>
      <c r="N74" s="4"/>
      <c r="O74" s="4"/>
      <c r="P74" s="4"/>
      <c r="Q74" s="10"/>
      <c r="R74" s="4"/>
      <c r="S74" s="4"/>
      <c r="T74" s="4"/>
    </row>
    <row r="75" spans="2:20" ht="20.25" thickBot="1">
      <c r="B75" s="116" t="s">
        <v>77</v>
      </c>
      <c r="C75" s="124"/>
      <c r="D75" s="315"/>
      <c r="E75" s="319">
        <v>70</v>
      </c>
      <c r="F75" s="329">
        <f aca="true" t="shared" si="1" ref="F75:F80">IF(COUNTA(C75:D75)=1,D75,E75)</f>
        <v>70</v>
      </c>
      <c r="G75" s="4"/>
      <c r="I75" s="10"/>
      <c r="J75" s="4"/>
      <c r="K75" s="4"/>
      <c r="L75" s="4"/>
      <c r="M75" s="4"/>
      <c r="N75" s="4"/>
      <c r="O75" s="4"/>
      <c r="P75" s="32"/>
      <c r="Q75" s="32"/>
      <c r="R75" s="4"/>
      <c r="S75" s="4"/>
      <c r="T75" s="4"/>
    </row>
    <row r="76" spans="2:20" ht="21" thickBot="1" thickTop="1">
      <c r="B76" s="119" t="s">
        <v>210</v>
      </c>
      <c r="C76" s="125"/>
      <c r="D76" s="316"/>
      <c r="E76" s="321">
        <v>48</v>
      </c>
      <c r="F76" s="278">
        <f t="shared" si="1"/>
        <v>48</v>
      </c>
      <c r="G76" s="4"/>
      <c r="I76" s="10"/>
      <c r="J76" s="4"/>
      <c r="K76" s="4"/>
      <c r="L76" s="4"/>
      <c r="M76" s="4"/>
      <c r="N76" s="4"/>
      <c r="O76" s="4"/>
      <c r="P76" s="32"/>
      <c r="Q76" s="32"/>
      <c r="R76" s="4"/>
      <c r="S76" s="4"/>
      <c r="T76" s="4"/>
    </row>
    <row r="77" spans="2:20" ht="21" thickBot="1" thickTop="1">
      <c r="B77" s="119" t="s">
        <v>211</v>
      </c>
      <c r="C77" s="125"/>
      <c r="D77" s="316"/>
      <c r="E77" s="321">
        <v>75</v>
      </c>
      <c r="F77" s="278">
        <f t="shared" si="1"/>
        <v>75</v>
      </c>
      <c r="G77" s="4"/>
      <c r="I77" s="10"/>
      <c r="J77" s="4"/>
      <c r="K77" s="4"/>
      <c r="L77" s="4"/>
      <c r="M77" s="4"/>
      <c r="N77" s="4"/>
      <c r="O77" s="4"/>
      <c r="P77" s="32"/>
      <c r="Q77" s="32"/>
      <c r="R77" s="4"/>
      <c r="S77" s="4"/>
      <c r="T77" s="4"/>
    </row>
    <row r="78" spans="2:20" ht="21" thickBot="1" thickTop="1">
      <c r="B78" s="119" t="s">
        <v>63</v>
      </c>
      <c r="C78" s="125"/>
      <c r="D78" s="316"/>
      <c r="E78" s="281">
        <v>0.85</v>
      </c>
      <c r="F78" s="328">
        <f t="shared" si="1"/>
        <v>0.85</v>
      </c>
      <c r="G78" s="4"/>
      <c r="I78" s="10"/>
      <c r="J78" s="4"/>
      <c r="K78" s="4"/>
      <c r="L78" s="4"/>
      <c r="M78" s="4"/>
      <c r="N78" s="4"/>
      <c r="O78" s="4"/>
      <c r="P78" s="32"/>
      <c r="Q78" s="32"/>
      <c r="R78" s="4"/>
      <c r="S78" s="4"/>
      <c r="T78" s="4"/>
    </row>
    <row r="79" spans="2:20" ht="21" thickBot="1" thickTop="1">
      <c r="B79" s="119" t="s">
        <v>18</v>
      </c>
      <c r="C79" s="125"/>
      <c r="D79" s="316"/>
      <c r="E79" s="322">
        <v>0.5</v>
      </c>
      <c r="F79" s="328">
        <f t="shared" si="1"/>
        <v>0.5</v>
      </c>
      <c r="G79" s="4"/>
      <c r="I79" s="10"/>
      <c r="J79" s="4"/>
      <c r="K79" s="4"/>
      <c r="L79" s="4"/>
      <c r="M79" s="4"/>
      <c r="N79" s="4"/>
      <c r="O79" s="4"/>
      <c r="P79" s="32"/>
      <c r="Q79" s="32"/>
      <c r="R79" s="4"/>
      <c r="S79" s="4"/>
      <c r="T79" s="4"/>
    </row>
    <row r="80" spans="2:20" ht="21" thickBot="1" thickTop="1">
      <c r="B80" s="119" t="s">
        <v>19</v>
      </c>
      <c r="C80" s="125"/>
      <c r="D80" s="316"/>
      <c r="E80" s="322">
        <v>0.3</v>
      </c>
      <c r="F80" s="328">
        <f t="shared" si="1"/>
        <v>0.3</v>
      </c>
      <c r="G80" s="4"/>
      <c r="I80" s="10"/>
      <c r="J80" s="4"/>
      <c r="K80" s="4"/>
      <c r="L80" s="4"/>
      <c r="M80" s="4"/>
      <c r="N80" s="4"/>
      <c r="O80" s="4"/>
      <c r="P80" s="32"/>
      <c r="Q80" s="32"/>
      <c r="R80" s="4"/>
      <c r="S80" s="4"/>
      <c r="T80" s="4"/>
    </row>
    <row r="81" spans="2:20" ht="13.5" thickTop="1">
      <c r="B81" s="17"/>
      <c r="D81" s="4"/>
      <c r="E81" s="4"/>
      <c r="F81" s="4"/>
      <c r="G81" s="4"/>
      <c r="I81" s="58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</row>
    <row r="82" spans="4:20" ht="16.5">
      <c r="D82" s="150" t="s">
        <v>192</v>
      </c>
      <c r="E82" s="150" t="s">
        <v>195</v>
      </c>
      <c r="F82" s="151" t="s">
        <v>193</v>
      </c>
      <c r="G82" s="151" t="s">
        <v>202</v>
      </c>
      <c r="H82" s="152" t="s">
        <v>194</v>
      </c>
      <c r="I82" s="153" t="s">
        <v>197</v>
      </c>
      <c r="J82" s="4"/>
      <c r="K82" s="4"/>
      <c r="L82" s="4"/>
      <c r="M82" s="4"/>
      <c r="N82" s="4"/>
      <c r="O82" s="4"/>
      <c r="P82" s="10"/>
      <c r="Q82" s="5" t="s">
        <v>59</v>
      </c>
      <c r="R82" s="5" t="s">
        <v>60</v>
      </c>
      <c r="S82" s="5" t="s">
        <v>37</v>
      </c>
      <c r="T82" s="5" t="s">
        <v>61</v>
      </c>
    </row>
    <row r="83" spans="2:20" s="4" customFormat="1" ht="19.5">
      <c r="B83" s="158" t="s">
        <v>26</v>
      </c>
      <c r="D83" s="147">
        <f>((Q83+R83)*F77+(S83+T83)*F76)/(F75*(F48*H8+F50*H9))</f>
        <v>5.105547674445646</v>
      </c>
      <c r="E83" s="147">
        <f>D83/(E20/D20)</f>
        <v>2.5297807368873606</v>
      </c>
      <c r="F83" s="148">
        <f>D83*(D12/D14)</f>
        <v>5.209742524944536</v>
      </c>
      <c r="G83" s="148">
        <f>F83/(E22/D22)</f>
        <v>2.450717916040697</v>
      </c>
      <c r="H83" s="149">
        <f>((Q83+R83)*F77+(S83+T83)*F76)/(F75*(F49*H8+F51*H9))</f>
        <v>6.410012754918834</v>
      </c>
      <c r="I83" s="149">
        <f>H83/(E20/D20)</f>
        <v>3.1761385505731576</v>
      </c>
      <c r="P83" s="46"/>
      <c r="Q83" s="191">
        <f>D8/(5.7917+30.63*LOG(D8))</f>
        <v>0.7974538284988528</v>
      </c>
      <c r="R83" s="191">
        <f>D8/(-0.44591+31.695*LOG(D8))</f>
        <v>0.8661731557039253</v>
      </c>
      <c r="S83" s="191">
        <f>F78</f>
        <v>0.85</v>
      </c>
      <c r="T83" s="191">
        <f>F79+F80</f>
        <v>0.8</v>
      </c>
    </row>
    <row r="84" spans="1:10" s="130" customFormat="1" ht="15">
      <c r="A84" s="235"/>
      <c r="B84" s="235"/>
      <c r="C84" s="235"/>
      <c r="D84" s="235"/>
      <c r="E84" s="235"/>
      <c r="F84" s="235"/>
      <c r="G84" s="235"/>
      <c r="H84" s="235"/>
      <c r="I84" s="235"/>
      <c r="J84" s="235"/>
    </row>
    <row r="85" s="130" customFormat="1" ht="15"/>
    <row r="86" spans="2:20" ht="19.5">
      <c r="B86" s="166" t="s">
        <v>238</v>
      </c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</row>
    <row r="87" spans="2:6" ht="16.5">
      <c r="B87" s="114"/>
      <c r="C87" s="114"/>
      <c r="D87" s="143" t="s">
        <v>53</v>
      </c>
      <c r="E87" s="143" t="s">
        <v>22</v>
      </c>
      <c r="F87" s="144" t="s">
        <v>54</v>
      </c>
    </row>
    <row r="88" spans="2:7" ht="20.25" thickBot="1">
      <c r="B88" s="163" t="s">
        <v>215</v>
      </c>
      <c r="C88" s="196"/>
      <c r="D88" s="315"/>
      <c r="E88" s="323">
        <v>3</v>
      </c>
      <c r="F88" s="325">
        <f>IF(COUNTA(C88:D88)=1,D88,E88)</f>
        <v>3</v>
      </c>
      <c r="G88" s="4"/>
    </row>
    <row r="89" spans="2:7" ht="13.5" thickTop="1">
      <c r="B89" s="21"/>
      <c r="D89" s="39"/>
      <c r="E89" s="39"/>
      <c r="F89" s="4"/>
      <c r="G89" s="4"/>
    </row>
    <row r="90" spans="4:9" ht="16.5">
      <c r="D90" s="150" t="s">
        <v>192</v>
      </c>
      <c r="E90" s="150" t="s">
        <v>195</v>
      </c>
      <c r="F90" s="151" t="s">
        <v>193</v>
      </c>
      <c r="G90" s="151" t="s">
        <v>202</v>
      </c>
      <c r="H90" s="152" t="s">
        <v>194</v>
      </c>
      <c r="I90" s="153" t="s">
        <v>197</v>
      </c>
    </row>
    <row r="91" spans="2:9" s="4" customFormat="1" ht="19.5">
      <c r="B91" s="181" t="s">
        <v>239</v>
      </c>
      <c r="D91" s="147">
        <f>F88</f>
        <v>3</v>
      </c>
      <c r="E91" s="147">
        <f>D91/(E20/D20)</f>
        <v>1.4864893434740327</v>
      </c>
      <c r="F91" s="148">
        <f>D91</f>
        <v>3</v>
      </c>
      <c r="G91" s="148">
        <f>E91</f>
        <v>1.4864893434740327</v>
      </c>
      <c r="H91" s="149">
        <f>F88</f>
        <v>3</v>
      </c>
      <c r="I91" s="149">
        <f>H91/(E20/D20)</f>
        <v>1.4864893434740327</v>
      </c>
    </row>
    <row r="92" spans="1:10" s="4" customFormat="1" ht="17.25" customHeight="1">
      <c r="A92" s="231"/>
      <c r="B92" s="272"/>
      <c r="C92" s="231"/>
      <c r="D92" s="273"/>
      <c r="E92" s="273"/>
      <c r="F92" s="274"/>
      <c r="G92" s="274"/>
      <c r="H92" s="275"/>
      <c r="I92" s="275"/>
      <c r="J92" s="231"/>
    </row>
    <row r="93" spans="2:9" s="4" customFormat="1" ht="16.5" customHeight="1">
      <c r="B93" s="181"/>
      <c r="D93" s="147"/>
      <c r="E93" s="147"/>
      <c r="F93" s="148"/>
      <c r="G93" s="148"/>
      <c r="H93" s="149"/>
      <c r="I93" s="149"/>
    </row>
    <row r="94" spans="2:26" ht="19.5">
      <c r="B94" s="156" t="s">
        <v>255</v>
      </c>
      <c r="C94" s="156"/>
      <c r="D94" s="264"/>
      <c r="E94" s="264"/>
      <c r="F94" s="264"/>
      <c r="G94" s="264"/>
      <c r="H94" s="5"/>
      <c r="I94" s="5"/>
      <c r="W94" s="255" t="s">
        <v>59</v>
      </c>
      <c r="X94" s="255" t="s">
        <v>60</v>
      </c>
      <c r="Y94" s="256" t="s">
        <v>37</v>
      </c>
      <c r="Z94" s="256" t="s">
        <v>61</v>
      </c>
    </row>
    <row r="95" spans="2:26" ht="13.5" customHeight="1">
      <c r="B95" s="140"/>
      <c r="C95" s="101"/>
      <c r="D95" s="257"/>
      <c r="E95" s="257"/>
      <c r="F95" s="258"/>
      <c r="G95" s="258"/>
      <c r="H95" s="5"/>
      <c r="I95" s="5"/>
      <c r="W95" s="255"/>
      <c r="X95" s="255"/>
      <c r="Y95" s="256"/>
      <c r="Z95" s="256"/>
    </row>
    <row r="96" spans="2:26" ht="16.5">
      <c r="B96" s="114"/>
      <c r="C96" s="114"/>
      <c r="D96" s="143" t="s">
        <v>53</v>
      </c>
      <c r="E96" s="143" t="s">
        <v>22</v>
      </c>
      <c r="F96" s="144" t="s">
        <v>54</v>
      </c>
      <c r="H96" s="5"/>
      <c r="I96" s="5"/>
      <c r="W96" s="167">
        <f>D24/(5.7917+30.63*LOG(D24))</f>
        <v>1.3577422759501356</v>
      </c>
      <c r="X96" s="167">
        <f>D24/(-0.44591+31.695*LOG(D24))</f>
        <v>1.4498847211285286</v>
      </c>
      <c r="Y96" s="95">
        <f>F99/F98</f>
        <v>0.36666666666666664</v>
      </c>
      <c r="Z96" s="259">
        <f>F102</f>
        <v>0.6</v>
      </c>
    </row>
    <row r="97" spans="2:25" ht="20.25" thickBot="1">
      <c r="B97" s="260" t="s">
        <v>253</v>
      </c>
      <c r="C97" s="260"/>
      <c r="D97" s="353"/>
      <c r="E97" s="355">
        <v>0.8</v>
      </c>
      <c r="F97" s="345">
        <f aca="true" t="shared" si="2" ref="F97:F102">IF(COUNTA(D97:D97)=1,D97,E97)</f>
        <v>0.8</v>
      </c>
      <c r="H97" s="5"/>
      <c r="I97" s="5"/>
      <c r="W97" s="61"/>
      <c r="X97" s="61"/>
      <c r="Y97" s="61"/>
    </row>
    <row r="98" spans="2:25" ht="21" thickBot="1" thickTop="1">
      <c r="B98" s="261" t="s">
        <v>227</v>
      </c>
      <c r="C98" s="261"/>
      <c r="D98" s="354"/>
      <c r="E98" s="282">
        <v>300</v>
      </c>
      <c r="F98" s="346">
        <f t="shared" si="2"/>
        <v>300</v>
      </c>
      <c r="H98" s="5"/>
      <c r="I98" s="5"/>
      <c r="W98" s="61"/>
      <c r="X98" s="61"/>
      <c r="Y98" s="61"/>
    </row>
    <row r="99" spans="2:25" ht="21" thickBot="1" thickTop="1">
      <c r="B99" s="260" t="s">
        <v>228</v>
      </c>
      <c r="C99" s="261"/>
      <c r="D99" s="354"/>
      <c r="E99" s="282">
        <v>110</v>
      </c>
      <c r="F99" s="346">
        <f t="shared" si="2"/>
        <v>110</v>
      </c>
      <c r="H99" s="5"/>
      <c r="I99" s="5"/>
      <c r="W99" s="61"/>
      <c r="X99" s="61"/>
      <c r="Y99" s="61"/>
    </row>
    <row r="100" spans="2:25" ht="21" thickBot="1" thickTop="1">
      <c r="B100" s="261" t="s">
        <v>229</v>
      </c>
      <c r="C100" s="261"/>
      <c r="D100" s="354"/>
      <c r="E100" s="282">
        <v>47</v>
      </c>
      <c r="F100" s="346">
        <f t="shared" si="2"/>
        <v>47</v>
      </c>
      <c r="H100" s="5"/>
      <c r="I100" s="5"/>
      <c r="W100" s="61"/>
      <c r="X100" s="61"/>
      <c r="Y100" s="61"/>
    </row>
    <row r="101" spans="2:25" ht="21" thickBot="1" thickTop="1">
      <c r="B101" s="261" t="s">
        <v>230</v>
      </c>
      <c r="C101" s="261"/>
      <c r="D101" s="354"/>
      <c r="E101" s="282">
        <v>72</v>
      </c>
      <c r="F101" s="346">
        <f t="shared" si="2"/>
        <v>72</v>
      </c>
      <c r="H101" s="5"/>
      <c r="I101" s="5"/>
      <c r="W101" s="61"/>
      <c r="X101" s="61"/>
      <c r="Y101" s="61"/>
    </row>
    <row r="102" spans="2:25" ht="21" thickBot="1" thickTop="1">
      <c r="B102" s="261" t="s">
        <v>231</v>
      </c>
      <c r="C102" s="261"/>
      <c r="D102" s="288"/>
      <c r="E102" s="355">
        <v>0.6</v>
      </c>
      <c r="F102" s="345">
        <f t="shared" si="2"/>
        <v>0.6</v>
      </c>
      <c r="H102" s="5"/>
      <c r="I102" s="5"/>
      <c r="W102" s="61"/>
      <c r="X102" s="61"/>
      <c r="Y102" s="61"/>
    </row>
    <row r="103" spans="2:25" ht="20.25" thickTop="1">
      <c r="B103" s="170"/>
      <c r="C103" s="170"/>
      <c r="D103" s="4"/>
      <c r="E103" s="262"/>
      <c r="F103" s="263"/>
      <c r="G103" s="263"/>
      <c r="H103" s="5"/>
      <c r="I103" s="5"/>
      <c r="W103" s="61"/>
      <c r="X103" s="61"/>
      <c r="Y103" s="61"/>
    </row>
    <row r="104" spans="2:25" ht="19.5">
      <c r="B104" s="170"/>
      <c r="C104" s="170"/>
      <c r="D104" s="266" t="s">
        <v>192</v>
      </c>
      <c r="E104" s="266" t="s">
        <v>195</v>
      </c>
      <c r="F104" s="267" t="s">
        <v>193</v>
      </c>
      <c r="G104" s="267" t="s">
        <v>202</v>
      </c>
      <c r="H104" s="268" t="s">
        <v>194</v>
      </c>
      <c r="I104" s="269" t="s">
        <v>197</v>
      </c>
      <c r="W104" s="61"/>
      <c r="X104" s="61"/>
      <c r="Y104" s="61"/>
    </row>
    <row r="105" spans="2:25" ht="19.5">
      <c r="B105" s="170" t="s">
        <v>232</v>
      </c>
      <c r="C105" s="170"/>
      <c r="D105" s="147">
        <f>F97</f>
        <v>0.8</v>
      </c>
      <c r="E105" s="147">
        <f>D105*(Leimikkotiedot!C32/Leimikkotiedot!D32)</f>
        <v>0.3963971582597421</v>
      </c>
      <c r="F105" s="148">
        <f>D105</f>
        <v>0.8</v>
      </c>
      <c r="G105" s="148">
        <f>F105*(Leimikkotiedot!C32/Leimikkotiedot!D32)</f>
        <v>0.3963971582597421</v>
      </c>
      <c r="H105" s="154">
        <f>D105</f>
        <v>0.8</v>
      </c>
      <c r="I105" s="154">
        <f>H105*(Leimikkotiedot!C34/Leimikkotiedot!D34)</f>
        <v>0.36864751121342954</v>
      </c>
      <c r="W105" s="61"/>
      <c r="X105" s="61"/>
      <c r="Y105" s="61"/>
    </row>
    <row r="106" spans="2:30" ht="19.5">
      <c r="B106" s="170" t="s">
        <v>233</v>
      </c>
      <c r="C106" s="170"/>
      <c r="D106" s="147">
        <f>((W96+X96)*F101+(Y96+Z96)*F100)/(F99/2.5)</f>
        <v>5.626874480068117</v>
      </c>
      <c r="E106" s="147">
        <f>D106*(Leimikkotiedot!C32/Leimikkotiedot!D32)</f>
        <v>2.7880963172290816</v>
      </c>
      <c r="F106" s="148">
        <f>D106</f>
        <v>5.626874480068117</v>
      </c>
      <c r="G106" s="148">
        <f>F106*(Leimikkotiedot!C34/Leimikkotiedot!D34)</f>
        <v>2.5929165912343395</v>
      </c>
      <c r="H106" s="154">
        <f>D106</f>
        <v>5.626874480068117</v>
      </c>
      <c r="I106" s="154">
        <f>H106*(Leimikkotiedot!C34/Leimikkotiedot!D34)</f>
        <v>2.5929165912343395</v>
      </c>
      <c r="W106" s="61"/>
      <c r="X106" s="61"/>
      <c r="Y106" s="61"/>
      <c r="AA106" s="167"/>
      <c r="AB106" s="167"/>
      <c r="AC106" s="167"/>
      <c r="AD106" s="167"/>
    </row>
    <row r="107" spans="1:10" s="130" customFormat="1" ht="15">
      <c r="A107" s="235"/>
      <c r="B107" s="235"/>
      <c r="C107" s="235"/>
      <c r="D107" s="235"/>
      <c r="E107" s="235"/>
      <c r="F107" s="235"/>
      <c r="G107" s="235"/>
      <c r="H107" s="235"/>
      <c r="I107" s="235"/>
      <c r="J107" s="235"/>
    </row>
    <row r="109" ht="21">
      <c r="B109" s="169" t="s">
        <v>176</v>
      </c>
    </row>
    <row r="110" spans="4:9" ht="16.5">
      <c r="D110" s="150" t="s">
        <v>192</v>
      </c>
      <c r="E110" s="150" t="s">
        <v>195</v>
      </c>
      <c r="F110" s="151" t="s">
        <v>193</v>
      </c>
      <c r="G110" s="151" t="s">
        <v>202</v>
      </c>
      <c r="H110" s="152" t="s">
        <v>194</v>
      </c>
      <c r="I110" s="153" t="s">
        <v>197</v>
      </c>
    </row>
    <row r="111" spans="4:9" s="4" customFormat="1" ht="19.5">
      <c r="D111" s="147">
        <f>D42+D59+D70+D83+D91+D105+D106</f>
        <v>28.126844350393007</v>
      </c>
      <c r="E111" s="147">
        <f>E42+E59+E70+E83+E91+E105+E106</f>
        <v>13.936751464137334</v>
      </c>
      <c r="F111" s="148">
        <f>F42+F59+F70+F83+F91+AB34+F105+F106</f>
        <v>29.500999998129625</v>
      </c>
      <c r="G111" s="148">
        <f>G42+G59+G70+G83+G91+(AB34*(D22/E22))+G105+G106</f>
        <v>13.918883786574334</v>
      </c>
      <c r="H111" s="149">
        <f>H42+H59+H70+H83+H91+AE34+AE34+H105+H106</f>
        <v>34.25383609328681</v>
      </c>
      <c r="I111" s="149">
        <f>I42+I59+I70+I83+I91+(AE34*(D24/E24))+I105+I106</f>
        <v>15.864495625687507</v>
      </c>
    </row>
    <row r="112" spans="1:10" s="130" customFormat="1" ht="15">
      <c r="A112" s="235"/>
      <c r="B112" s="235"/>
      <c r="C112" s="235"/>
      <c r="D112" s="235"/>
      <c r="E112" s="235"/>
      <c r="F112" s="235"/>
      <c r="G112" s="235"/>
      <c r="H112" s="235"/>
      <c r="I112" s="235"/>
      <c r="J112" s="235"/>
    </row>
  </sheetData>
  <sheetProtection sheet="1" objects="1" scenarios="1"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Joensuun yliopisto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jlaitila</dc:creator>
  <cp:keywords/>
  <dc:description/>
  <cp:lastModifiedBy>Jari Aalto</cp:lastModifiedBy>
  <cp:lastPrinted>2001-01-05T13:45:51Z</cp:lastPrinted>
  <dcterms:created xsi:type="dcterms:W3CDTF">2000-09-19T09:34:27Z</dcterms:created>
  <dcterms:modified xsi:type="dcterms:W3CDTF">2014-03-27T10:29:26Z</dcterms:modified>
  <cp:category/>
  <cp:version/>
  <cp:contentType/>
  <cp:contentStatus/>
</cp:coreProperties>
</file>