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75" windowHeight="8445" activeTab="0"/>
  </bookViews>
  <sheets>
    <sheet name="Etusivu" sheetId="1" r:id="rId1"/>
    <sheet name="Leimikkotiedot ja tulokset" sheetId="2" r:id="rId2"/>
    <sheet name="Kantojen korjuu" sheetId="3" r:id="rId3"/>
  </sheets>
  <definedNames/>
  <calcPr fullCalcOnLoad="1"/>
</workbook>
</file>

<file path=xl/sharedStrings.xml><?xml version="1.0" encoding="utf-8"?>
<sst xmlns="http://schemas.openxmlformats.org/spreadsheetml/2006/main" count="198" uniqueCount="141">
  <si>
    <t xml:space="preserve"> laskentaohjelma</t>
  </si>
  <si>
    <t>Leimikkotiedot</t>
  </si>
  <si>
    <t>Kuusen määrä työmaalla:</t>
  </si>
  <si>
    <t>Kuusikuitua, m³</t>
  </si>
  <si>
    <t>Kuusitukkia, m³</t>
  </si>
  <si>
    <t>Työmaan pinta-ala, ha</t>
  </si>
  <si>
    <t>Metsäkuljetusmatka, m</t>
  </si>
  <si>
    <t>Kuusirunkoja, kpl</t>
  </si>
  <si>
    <t>Rungon keskikoko, dm³</t>
  </si>
  <si>
    <t>Annettu arvo</t>
  </si>
  <si>
    <t>Oletusarvo</t>
  </si>
  <si>
    <t>Malli käyttää</t>
  </si>
  <si>
    <t>Varastointiaika välivarastolla, kk</t>
  </si>
  <si>
    <t>Kantojen määrä työmaalla</t>
  </si>
  <si>
    <t>Korvaus maanmuokkauksesta, €/ha</t>
  </si>
  <si>
    <t>Kantojen kosteus varastokuivana, %</t>
  </si>
  <si>
    <t xml:space="preserve">   Kantomurskeen tuotantokustannusten</t>
  </si>
  <si>
    <t>Varastointi hävikki, %</t>
  </si>
  <si>
    <t>Muut kulut</t>
  </si>
  <si>
    <t>Organisaatiokulut, €/m³</t>
  </si>
  <si>
    <t>Peittämiskustannus, €/m³</t>
  </si>
  <si>
    <t>Muut kulut yht.</t>
  </si>
  <si>
    <t>Kantomurske, €/m³</t>
  </si>
  <si>
    <t>Kantomurske, €/MWh</t>
  </si>
  <si>
    <t>Kantojen nosto</t>
  </si>
  <si>
    <t>Käyttötunti/tehotunti kerroin</t>
  </si>
  <si>
    <t>Siirtokustannus, €/kerta</t>
  </si>
  <si>
    <t>Metsäkuljetus</t>
  </si>
  <si>
    <t>Metsätraktorin kuormakoko, m³</t>
  </si>
  <si>
    <t>Metsätraktorin tuntikustannus, €/h</t>
  </si>
  <si>
    <t>Metsä tr:n siirtokustannus €/kerta</t>
  </si>
  <si>
    <t>Käyttöpaikkamurskaus</t>
  </si>
  <si>
    <t>Kuormaus- ja purkukustannus, €/h</t>
  </si>
  <si>
    <t>Ajotuntikustannus, €/h</t>
  </si>
  <si>
    <t>Apuaika, h</t>
  </si>
  <si>
    <t>KÄYTTÖPAIKKAKUSTANNUS YHT.</t>
  </si>
  <si>
    <t>Keski lpm, cm</t>
  </si>
  <si>
    <t>Kantoläpimitta, cm</t>
  </si>
  <si>
    <t>Kannon tilavuus, m³</t>
  </si>
  <si>
    <t>Tulokset</t>
  </si>
  <si>
    <t>m³/ha</t>
  </si>
  <si>
    <t>MWh/ha</t>
  </si>
  <si>
    <t>Kantoja, m³</t>
  </si>
  <si>
    <t>Kantoja, MWh</t>
  </si>
  <si>
    <t>Kantojen määrä:</t>
  </si>
  <si>
    <t xml:space="preserve">Kuusen kanto </t>
  </si>
  <si>
    <t>Kuivamassa</t>
  </si>
  <si>
    <t>Lämpöarvo kiloa kohti</t>
  </si>
  <si>
    <t>← Kantomäärissä huomioitu varastointitappio-%</t>
  </si>
  <si>
    <t>Käyttöpaikkahinta eri menetelmillä:</t>
  </si>
  <si>
    <t xml:space="preserve"> Kannon koko, dm³</t>
  </si>
  <si>
    <t>Korkotekijä</t>
  </si>
  <si>
    <t>Aika, v</t>
  </si>
  <si>
    <t>Korko mukana</t>
  </si>
  <si>
    <t>Korkokulu</t>
  </si>
  <si>
    <t>Tenkanen</t>
  </si>
  <si>
    <t>€/m³</t>
  </si>
  <si>
    <t xml:space="preserve">     Käyttötuntikerroin mukana</t>
  </si>
  <si>
    <t xml:space="preserve">     Työpisteen koko:</t>
  </si>
  <si>
    <t>Taakan koko:</t>
  </si>
  <si>
    <t xml:space="preserve">   Kuormaus, s/m³</t>
  </si>
  <si>
    <t>Kuormaus-ajo, s/m³</t>
  </si>
  <si>
    <t>Kuorman purku, s/m³</t>
  </si>
  <si>
    <t>Aika yhteensä, sek/m³</t>
  </si>
  <si>
    <t>Aika per kuorma</t>
  </si>
  <si>
    <t>Tuottavuus, m³/käyttötunti</t>
  </si>
  <si>
    <t>meku, m</t>
  </si>
  <si>
    <t>sek/m³</t>
  </si>
  <si>
    <t>Ajouravarsi tiheys</t>
  </si>
  <si>
    <t>Työpiste</t>
  </si>
  <si>
    <t>Kannot, €/m³</t>
  </si>
  <si>
    <t>Kannot, €/MWh</t>
  </si>
  <si>
    <t>Ajo tyhjänä</t>
  </si>
  <si>
    <t>Ajo kuormattuna</t>
  </si>
  <si>
    <t>Kuormaus</t>
  </si>
  <si>
    <t>Purku ja apuajat</t>
  </si>
  <si>
    <t>Kantojen ja ainespuun määräsuhde, %</t>
  </si>
  <si>
    <t>Siirtyminen</t>
  </si>
  <si>
    <t>Kantoluku, kpl/ha</t>
  </si>
  <si>
    <t>Sekuntia  per kanto</t>
  </si>
  <si>
    <t>Muokkaus</t>
  </si>
  <si>
    <t>Tuotos, ha/h</t>
  </si>
  <si>
    <t>Yhteensä per kanto</t>
  </si>
  <si>
    <t>Tuottavuus, m³/h</t>
  </si>
  <si>
    <t>"Kantojen kantohinta", €/m³</t>
  </si>
  <si>
    <t>Kuormakoko muunnin tonneista kuutioiksi</t>
  </si>
  <si>
    <t>tonnia</t>
  </si>
  <si>
    <t>=</t>
  </si>
  <si>
    <t>kosteus, %</t>
  </si>
  <si>
    <t>kuutiota, m³</t>
  </si>
  <si>
    <t>Tuntia hehtaarille</t>
  </si>
  <si>
    <t>Kantopuun metsäkuljetus, tyhjänä-ajo</t>
  </si>
  <si>
    <t>Kantopuun metsäkuljetus, kuormattuna-ajo</t>
  </si>
  <si>
    <t>m³ ha:lla</t>
  </si>
  <si>
    <t>Aika per kanto, Kantokunkku</t>
  </si>
  <si>
    <t>Nostettavien kantojen kantoläpimitta, cm</t>
  </si>
  <si>
    <t>Tuottavuus, ha/h</t>
  </si>
  <si>
    <t>Tuntikustannus, €/h</t>
  </si>
  <si>
    <t>Käyttötunti/tehotunti kerroin nostotyössä</t>
  </si>
  <si>
    <t xml:space="preserve">Kantojen autokuljetus terminaaliin </t>
  </si>
  <si>
    <t>Kantojen autokuljetus käyttöpaikalle</t>
  </si>
  <si>
    <t xml:space="preserve">Kuormakoko, m³ </t>
  </si>
  <si>
    <t>Kuormakoko, m³</t>
  </si>
  <si>
    <t>Kantojen purkuaika terminaalissa, h</t>
  </si>
  <si>
    <t>Kantojen kuormausaika tienvarressa, h</t>
  </si>
  <si>
    <t>Terminaali</t>
  </si>
  <si>
    <t>Käyttöpaikka</t>
  </si>
  <si>
    <t>Autokuljetus terminaaliin</t>
  </si>
  <si>
    <t>Autokuljetus käyttöpaikalle</t>
  </si>
  <si>
    <t>Kaukokuljetusmatka välivarastolta terminaaliin, km</t>
  </si>
  <si>
    <t>Kaukokuljetusmatka terminaalista käyttäjälle, km</t>
  </si>
  <si>
    <t>Kaukokuljetusmatka käyttöpaikalle, km</t>
  </si>
  <si>
    <t xml:space="preserve">Murskaus terminaalissa tai käyttöpaikalla </t>
  </si>
  <si>
    <t>Murskauskustannus terminaalissa, €/m³</t>
  </si>
  <si>
    <t xml:space="preserve">Murskauskustannus käyttöpaikalla, €/m³ </t>
  </si>
  <si>
    <t>Terminaalimurskaus</t>
  </si>
  <si>
    <t>Kuormauskustannus terminaalissa, €/m³</t>
  </si>
  <si>
    <t>Kuormauksen tuottavuus, i-m³ (irto) tunnissa</t>
  </si>
  <si>
    <t>Hakeauton kuormakoko, i-m³ (irto)</t>
  </si>
  <si>
    <t>Hakeauton kuormaus- ja purkukustannus, €/h</t>
  </si>
  <si>
    <t>Hakeauton ajotuntikustannus, €/h</t>
  </si>
  <si>
    <t>Terminaalikustannus</t>
  </si>
  <si>
    <t>Kaukokuljetus terminaalista käyttäjälle</t>
  </si>
  <si>
    <t>Kantomurskeen käsittely terminaalissa ja kuljetus loppukäyttäjälle</t>
  </si>
  <si>
    <t>Hakeauton purkuaika käyttöpaikalla yms.</t>
  </si>
  <si>
    <t>Käyttöpaikkamurskaus-ketju</t>
  </si>
  <si>
    <t>Terminaalimurskaus-ketju</t>
  </si>
  <si>
    <t>Terminaalimurskausketju</t>
  </si>
  <si>
    <t>Käyttöpaikkamurskausketju</t>
  </si>
  <si>
    <t>Varastoon sitoutuneen pääoman korko, %</t>
  </si>
  <si>
    <r>
      <t xml:space="preserve">  </t>
    </r>
    <r>
      <rPr>
        <b/>
        <sz val="12"/>
        <rFont val="Arial"/>
        <family val="0"/>
      </rPr>
      <t>©</t>
    </r>
    <r>
      <rPr>
        <b/>
        <sz val="12"/>
        <rFont val="Comic Sans MS"/>
        <family val="4"/>
      </rPr>
      <t xml:space="preserve"> Juha Laitila 2007</t>
    </r>
  </si>
  <si>
    <t>Kantojen korjuu terminaali- ja käyttöpaikkamurskaukseen perustuvilla korjuuketjuilla</t>
  </si>
  <si>
    <t>h/ha</t>
  </si>
  <si>
    <t>€/ha</t>
  </si>
  <si>
    <t>Aikaa per ha</t>
  </si>
  <si>
    <t>Kantojen noston ja metsäkuljetuksen ajanmenekki hehtaaria kohden:</t>
  </si>
  <si>
    <t xml:space="preserve">      Laskentaohjelma on tehty Lappeenrannan Teknillisen Yliopiston koordinoimalle hankkeelle:</t>
  </si>
  <si>
    <t xml:space="preserve">        Metsäntutkimuslaitos, Joensuun toimintayksikkö</t>
  </si>
  <si>
    <t>"Terminaalitoimintoihin perustuvan hankintajärjestelmän kehittäminen", joka oli osa ClimBus teknologiaohjelmaa.</t>
  </si>
  <si>
    <t xml:space="preserve">    =  Metsänomistajan maksama korvaus maanmuokkauksesta</t>
  </si>
  <si>
    <r>
      <t xml:space="preserve">Kantojen nosto </t>
    </r>
    <r>
      <rPr>
        <sz val="9"/>
        <rFont val="Comic Sans MS"/>
        <family val="4"/>
      </rPr>
      <t>(Tuottavuus perustuu 17.5 tn kaivukoneen tuottavuuteen. 40 cm kantoläpimitan jälkeen nostotyön tuottavuus kääntyy laskuun)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</si>
</sst>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"/>
    <numFmt numFmtId="167" formatCode="0.0000"/>
    <numFmt numFmtId="168" formatCode="0.00000000"/>
    <numFmt numFmtId="169" formatCode="0.0000000"/>
    <numFmt numFmtId="170" formatCode="0.000000"/>
    <numFmt numFmtId="171" formatCode="0.0\ %"/>
    <numFmt numFmtId="172" formatCode="0.000\ %"/>
  </numFmts>
  <fonts count="72">
    <font>
      <sz val="10"/>
      <name val="Arial"/>
      <family val="0"/>
    </font>
    <font>
      <sz val="10"/>
      <name val="Comic Sans MS"/>
      <family val="4"/>
    </font>
    <font>
      <b/>
      <sz val="18"/>
      <name val="Comic Sans MS"/>
      <family val="4"/>
    </font>
    <font>
      <b/>
      <sz val="24"/>
      <name val="Arial"/>
      <family val="0"/>
    </font>
    <font>
      <b/>
      <sz val="28"/>
      <name val="Comic Sans MS"/>
      <family val="4"/>
    </font>
    <font>
      <b/>
      <sz val="10"/>
      <name val="Arial"/>
      <family val="2"/>
    </font>
    <font>
      <b/>
      <sz val="10"/>
      <name val="Comic Sans MS"/>
      <family val="4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b/>
      <sz val="11"/>
      <name val="Comic Sans MS"/>
      <family val="4"/>
    </font>
    <font>
      <sz val="13"/>
      <name val="Comic Sans MS"/>
      <family val="4"/>
    </font>
    <font>
      <b/>
      <sz val="8"/>
      <name val="Comic Sans MS"/>
      <family val="4"/>
    </font>
    <font>
      <b/>
      <sz val="5"/>
      <name val="Comic Sans MS"/>
      <family val="4"/>
    </font>
    <font>
      <sz val="5"/>
      <name val="Comic Sans MS"/>
      <family val="4"/>
    </font>
    <font>
      <sz val="5"/>
      <name val="Arial"/>
      <family val="0"/>
    </font>
    <font>
      <b/>
      <sz val="10"/>
      <color indexed="16"/>
      <name val="Comic Sans MS"/>
      <family val="4"/>
    </font>
    <font>
      <b/>
      <sz val="8"/>
      <color indexed="16"/>
      <name val="Comic Sans MS"/>
      <family val="4"/>
    </font>
    <font>
      <sz val="12"/>
      <color indexed="13"/>
      <name val="Comic Sans MS"/>
      <family val="4"/>
    </font>
    <font>
      <b/>
      <sz val="10"/>
      <color indexed="51"/>
      <name val="Arial"/>
      <family val="2"/>
    </font>
    <font>
      <b/>
      <sz val="10"/>
      <color indexed="56"/>
      <name val="Arial"/>
      <family val="2"/>
    </font>
    <font>
      <b/>
      <sz val="10"/>
      <color indexed="53"/>
      <name val="Arial"/>
      <family val="2"/>
    </font>
    <font>
      <sz val="12"/>
      <color indexed="58"/>
      <name val="Comic Sans MS"/>
      <family val="4"/>
    </font>
    <font>
      <sz val="12"/>
      <color indexed="16"/>
      <name val="Comic Sans MS"/>
      <family val="4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sz val="12"/>
      <color indexed="9"/>
      <name val="Comic Sans MS"/>
      <family val="4"/>
    </font>
    <font>
      <b/>
      <sz val="10"/>
      <color indexed="8"/>
      <name val="Comic Sans MS"/>
      <family val="4"/>
    </font>
    <font>
      <sz val="12"/>
      <color indexed="17"/>
      <name val="Comic Sans MS"/>
      <family val="4"/>
    </font>
    <font>
      <sz val="12"/>
      <color indexed="53"/>
      <name val="Comic Sans MS"/>
      <family val="4"/>
    </font>
    <font>
      <b/>
      <sz val="10"/>
      <color indexed="53"/>
      <name val="Comic Sans MS"/>
      <family val="4"/>
    </font>
    <font>
      <b/>
      <sz val="10"/>
      <color indexed="17"/>
      <name val="Comic Sans MS"/>
      <family val="4"/>
    </font>
    <font>
      <sz val="9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12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12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6" fillId="33" borderId="11" xfId="0" applyFont="1" applyFill="1" applyBorder="1" applyAlignment="1" quotePrefix="1">
      <alignment horizontal="center"/>
    </xf>
    <xf numFmtId="0" fontId="6" fillId="33" borderId="11" xfId="0" applyFont="1" applyFill="1" applyBorder="1" applyAlignment="1">
      <alignment horizontal="center"/>
    </xf>
    <xf numFmtId="9" fontId="11" fillId="34" borderId="10" xfId="0" applyNumberFormat="1" applyFont="1" applyFill="1" applyBorder="1" applyAlignment="1">
      <alignment horizontal="center"/>
    </xf>
    <xf numFmtId="1" fontId="11" fillId="34" borderId="1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8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12" xfId="0" applyFont="1" applyFill="1" applyBorder="1" applyAlignment="1">
      <alignment horizontal="left"/>
    </xf>
    <xf numFmtId="1" fontId="15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 quotePrefix="1">
      <alignment horizontal="center"/>
    </xf>
    <xf numFmtId="0" fontId="5" fillId="33" borderId="0" xfId="0" applyFont="1" applyFill="1" applyAlignment="1" quotePrefix="1">
      <alignment horizontal="center"/>
    </xf>
    <xf numFmtId="0" fontId="11" fillId="33" borderId="0" xfId="0" applyFont="1" applyFill="1" applyBorder="1" applyAlignment="1" quotePrefix="1">
      <alignment horizontal="left"/>
    </xf>
    <xf numFmtId="0" fontId="11" fillId="33" borderId="0" xfId="0" applyFont="1" applyFill="1" applyBorder="1" applyAlignment="1">
      <alignment horizontal="left"/>
    </xf>
    <xf numFmtId="0" fontId="12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20" fillId="33" borderId="0" xfId="0" applyFont="1" applyFill="1" applyAlignment="1" quotePrefix="1">
      <alignment horizontal="center"/>
    </xf>
    <xf numFmtId="1" fontId="0" fillId="33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9" fontId="7" fillId="33" borderId="0" xfId="57" applyFont="1" applyFill="1" applyAlignment="1">
      <alignment/>
    </xf>
    <xf numFmtId="0" fontId="13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1" fontId="5" fillId="35" borderId="0" xfId="0" applyNumberFormat="1" applyFont="1" applyFill="1" applyAlignment="1">
      <alignment horizontal="center"/>
    </xf>
    <xf numFmtId="164" fontId="5" fillId="35" borderId="0" xfId="0" applyNumberFormat="1" applyFont="1" applyFill="1" applyAlignment="1">
      <alignment horizontal="center"/>
    </xf>
    <xf numFmtId="9" fontId="7" fillId="33" borderId="0" xfId="57" applyFont="1" applyFill="1" applyAlignment="1">
      <alignment horizontal="center"/>
    </xf>
    <xf numFmtId="0" fontId="14" fillId="33" borderId="0" xfId="0" applyFont="1" applyFill="1" applyBorder="1" applyAlignment="1">
      <alignment horizontal="left"/>
    </xf>
    <xf numFmtId="0" fontId="11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1" fontId="24" fillId="33" borderId="0" xfId="0" applyNumberFormat="1" applyFont="1" applyFill="1" applyBorder="1" applyAlignment="1">
      <alignment horizontal="center"/>
    </xf>
    <xf numFmtId="164" fontId="24" fillId="33" borderId="0" xfId="0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164" fontId="11" fillId="34" borderId="10" xfId="0" applyNumberFormat="1" applyFont="1" applyFill="1" applyBorder="1" applyAlignment="1">
      <alignment horizontal="center"/>
    </xf>
    <xf numFmtId="164" fontId="25" fillId="33" borderId="0" xfId="0" applyNumberFormat="1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64" fontId="26" fillId="33" borderId="0" xfId="0" applyNumberFormat="1" applyFont="1" applyFill="1" applyAlignment="1">
      <alignment horizontal="center"/>
    </xf>
    <xf numFmtId="9" fontId="0" fillId="33" borderId="0" xfId="57" applyFont="1" applyFill="1" applyAlignment="1">
      <alignment/>
    </xf>
    <xf numFmtId="2" fontId="11" fillId="34" borderId="1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1" fontId="11" fillId="33" borderId="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64" fontId="5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1" fontId="5" fillId="0" borderId="0" xfId="0" applyNumberFormat="1" applyFont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165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5" fontId="5" fillId="33" borderId="0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/>
    </xf>
    <xf numFmtId="164" fontId="0" fillId="33" borderId="11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164" fontId="29" fillId="34" borderId="0" xfId="0" applyNumberFormat="1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23" fillId="33" borderId="0" xfId="0" applyFont="1" applyFill="1" applyBorder="1" applyAlignment="1">
      <alignment/>
    </xf>
    <xf numFmtId="167" fontId="24" fillId="33" borderId="0" xfId="0" applyNumberFormat="1" applyFont="1" applyFill="1" applyBorder="1" applyAlignment="1">
      <alignment horizontal="center"/>
    </xf>
    <xf numFmtId="2" fontId="0" fillId="37" borderId="0" xfId="0" applyNumberForma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 quotePrefix="1">
      <alignment horizontal="center"/>
    </xf>
    <xf numFmtId="0" fontId="23" fillId="33" borderId="16" xfId="0" applyFont="1" applyFill="1" applyBorder="1" applyAlignment="1">
      <alignment/>
    </xf>
    <xf numFmtId="1" fontId="24" fillId="33" borderId="12" xfId="0" applyNumberFormat="1" applyFont="1" applyFill="1" applyBorder="1" applyAlignment="1">
      <alignment horizontal="center"/>
    </xf>
    <xf numFmtId="164" fontId="24" fillId="33" borderId="12" xfId="0" applyNumberFormat="1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165" fontId="24" fillId="33" borderId="12" xfId="0" applyNumberFormat="1" applyFont="1" applyFill="1" applyBorder="1" applyAlignment="1">
      <alignment horizontal="center"/>
    </xf>
    <xf numFmtId="1" fontId="11" fillId="33" borderId="0" xfId="57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64" fontId="29" fillId="38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11" fillId="34" borderId="10" xfId="0" applyNumberFormat="1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165" fontId="0" fillId="33" borderId="0" xfId="0" applyNumberFormat="1" applyFill="1" applyBorder="1" applyAlignment="1">
      <alignment/>
    </xf>
    <xf numFmtId="0" fontId="28" fillId="33" borderId="10" xfId="0" applyFont="1" applyFill="1" applyBorder="1" applyAlignment="1">
      <alignment/>
    </xf>
    <xf numFmtId="0" fontId="28" fillId="33" borderId="10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164" fontId="0" fillId="33" borderId="13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center"/>
    </xf>
    <xf numFmtId="1" fontId="11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164" fontId="11" fillId="33" borderId="0" xfId="0" applyNumberFormat="1" applyFont="1" applyFill="1" applyAlignment="1">
      <alignment horizontal="center"/>
    </xf>
    <xf numFmtId="164" fontId="31" fillId="33" borderId="0" xfId="0" applyNumberFormat="1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164" fontId="31" fillId="33" borderId="0" xfId="0" applyNumberFormat="1" applyFont="1" applyFill="1" applyBorder="1" applyAlignment="1">
      <alignment horizontal="center"/>
    </xf>
    <xf numFmtId="164" fontId="21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0" fillId="39" borderId="0" xfId="0" applyFill="1" applyAlignment="1">
      <alignment/>
    </xf>
    <xf numFmtId="0" fontId="0" fillId="34" borderId="0" xfId="0" applyFill="1" applyAlignment="1">
      <alignment/>
    </xf>
    <xf numFmtId="9" fontId="11" fillId="40" borderId="10" xfId="57" applyFont="1" applyFill="1" applyBorder="1" applyAlignment="1">
      <alignment horizontal="center"/>
    </xf>
    <xf numFmtId="1" fontId="11" fillId="40" borderId="12" xfId="57" applyNumberFormat="1" applyFont="1" applyFill="1" applyBorder="1" applyAlignment="1">
      <alignment horizontal="center"/>
    </xf>
    <xf numFmtId="9" fontId="11" fillId="40" borderId="10" xfId="0" applyNumberFormat="1" applyFont="1" applyFill="1" applyBorder="1" applyAlignment="1">
      <alignment horizontal="center"/>
    </xf>
    <xf numFmtId="1" fontId="11" fillId="40" borderId="10" xfId="0" applyNumberFormat="1" applyFont="1" applyFill="1" applyBorder="1" applyAlignment="1">
      <alignment horizontal="center"/>
    </xf>
    <xf numFmtId="1" fontId="11" fillId="34" borderId="10" xfId="57" applyNumberFormat="1" applyFont="1" applyFill="1" applyBorder="1" applyAlignment="1">
      <alignment horizontal="center"/>
    </xf>
    <xf numFmtId="164" fontId="11" fillId="40" borderId="10" xfId="0" applyNumberFormat="1" applyFont="1" applyFill="1" applyBorder="1" applyAlignment="1">
      <alignment horizontal="center"/>
    </xf>
    <xf numFmtId="2" fontId="11" fillId="40" borderId="10" xfId="0" applyNumberFormat="1" applyFont="1" applyFill="1" applyBorder="1" applyAlignment="1">
      <alignment horizontal="center"/>
    </xf>
    <xf numFmtId="0" fontId="11" fillId="40" borderId="10" xfId="0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0" fillId="36" borderId="0" xfId="0" applyFill="1" applyAlignment="1">
      <alignment/>
    </xf>
    <xf numFmtId="164" fontId="11" fillId="36" borderId="10" xfId="0" applyNumberFormat="1" applyFont="1" applyFill="1" applyBorder="1" applyAlignment="1" applyProtection="1">
      <alignment horizontal="center"/>
      <protection locked="0"/>
    </xf>
    <xf numFmtId="0" fontId="11" fillId="36" borderId="12" xfId="0" applyFont="1" applyFill="1" applyBorder="1" applyAlignment="1" applyProtection="1">
      <alignment horizontal="center"/>
      <protection locked="0"/>
    </xf>
    <xf numFmtId="0" fontId="11" fillId="36" borderId="10" xfId="0" applyFont="1" applyFill="1" applyBorder="1" applyAlignment="1" applyProtection="1">
      <alignment horizontal="center"/>
      <protection locked="0"/>
    </xf>
    <xf numFmtId="9" fontId="11" fillId="36" borderId="10" xfId="0" applyNumberFormat="1" applyFont="1" applyFill="1" applyBorder="1" applyAlignment="1" applyProtection="1">
      <alignment horizontal="center"/>
      <protection locked="0"/>
    </xf>
    <xf numFmtId="0" fontId="11" fillId="36" borderId="12" xfId="0" applyNumberFormat="1" applyFont="1" applyFill="1" applyBorder="1" applyAlignment="1" applyProtection="1">
      <alignment horizontal="center"/>
      <protection locked="0"/>
    </xf>
    <xf numFmtId="1" fontId="11" fillId="36" borderId="10" xfId="0" applyNumberFormat="1" applyFont="1" applyFill="1" applyBorder="1" applyAlignment="1" applyProtection="1">
      <alignment horizontal="center"/>
      <protection locked="0"/>
    </xf>
    <xf numFmtId="1" fontId="21" fillId="36" borderId="10" xfId="0" applyNumberFormat="1" applyFont="1" applyFill="1" applyBorder="1" applyAlignment="1">
      <alignment horizontal="center"/>
    </xf>
    <xf numFmtId="164" fontId="21" fillId="36" borderId="14" xfId="0" applyNumberFormat="1" applyFont="1" applyFill="1" applyBorder="1" applyAlignment="1">
      <alignment horizontal="center"/>
    </xf>
    <xf numFmtId="164" fontId="11" fillId="40" borderId="14" xfId="0" applyNumberFormat="1" applyFont="1" applyFill="1" applyBorder="1" applyAlignment="1">
      <alignment horizontal="center"/>
    </xf>
    <xf numFmtId="1" fontId="11" fillId="36" borderId="12" xfId="0" applyNumberFormat="1" applyFont="1" applyFill="1" applyBorder="1" applyAlignment="1" applyProtection="1">
      <alignment horizontal="center"/>
      <protection locked="0"/>
    </xf>
    <xf numFmtId="2" fontId="11" fillId="36" borderId="10" xfId="0" applyNumberFormat="1" applyFont="1" applyFill="1" applyBorder="1" applyAlignment="1" applyProtection="1">
      <alignment horizontal="center"/>
      <protection locked="0"/>
    </xf>
    <xf numFmtId="164" fontId="11" fillId="36" borderId="12" xfId="0" applyNumberFormat="1" applyFont="1" applyFill="1" applyBorder="1" applyAlignment="1" applyProtection="1">
      <alignment horizontal="center"/>
      <protection locked="0"/>
    </xf>
    <xf numFmtId="0" fontId="11" fillId="36" borderId="17" xfId="0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6" fillId="36" borderId="2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6" fillId="36" borderId="0" xfId="0" applyFont="1" applyFill="1" applyBorder="1" applyAlignment="1">
      <alignment horizontal="center"/>
    </xf>
    <xf numFmtId="0" fontId="11" fillId="36" borderId="0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11" fillId="40" borderId="25" xfId="0" applyFont="1" applyFill="1" applyBorder="1" applyAlignment="1" applyProtection="1">
      <alignment horizontal="center"/>
      <protection locked="0"/>
    </xf>
    <xf numFmtId="9" fontId="11" fillId="40" borderId="10" xfId="0" applyNumberFormat="1" applyFont="1" applyFill="1" applyBorder="1" applyAlignment="1" applyProtection="1">
      <alignment horizontal="center"/>
      <protection locked="0"/>
    </xf>
    <xf numFmtId="0" fontId="0" fillId="36" borderId="0" xfId="0" applyFill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30" fillId="36" borderId="0" xfId="0" applyFont="1" applyFill="1" applyBorder="1" applyAlignment="1">
      <alignment horizontal="right"/>
    </xf>
    <xf numFmtId="0" fontId="30" fillId="36" borderId="0" xfId="0" applyFont="1" applyFill="1" applyBorder="1" applyAlignment="1">
      <alignment horizontal="center"/>
    </xf>
    <xf numFmtId="164" fontId="25" fillId="36" borderId="0" xfId="0" applyNumberFormat="1" applyFont="1" applyFill="1" applyBorder="1" applyAlignment="1">
      <alignment horizontal="center"/>
    </xf>
    <xf numFmtId="164" fontId="33" fillId="36" borderId="0" xfId="0" applyNumberFormat="1" applyFont="1" applyFill="1" applyBorder="1" applyAlignment="1">
      <alignment horizontal="center"/>
    </xf>
    <xf numFmtId="164" fontId="34" fillId="36" borderId="0" xfId="0" applyNumberFormat="1" applyFont="1" applyFill="1" applyBorder="1" applyAlignment="1">
      <alignment horizontal="center"/>
    </xf>
    <xf numFmtId="164" fontId="26" fillId="36" borderId="0" xfId="0" applyNumberFormat="1" applyFont="1" applyFill="1" applyBorder="1" applyAlignment="1">
      <alignment horizontal="center"/>
    </xf>
    <xf numFmtId="2" fontId="33" fillId="33" borderId="0" xfId="0" applyNumberFormat="1" applyFont="1" applyFill="1" applyAlignment="1">
      <alignment horizontal="center"/>
    </xf>
    <xf numFmtId="2" fontId="34" fillId="33" borderId="0" xfId="0" applyNumberFormat="1" applyFont="1" applyFill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2" fontId="33" fillId="33" borderId="10" xfId="0" applyNumberFormat="1" applyFont="1" applyFill="1" applyBorder="1" applyAlignment="1">
      <alignment horizontal="center"/>
    </xf>
    <xf numFmtId="2" fontId="34" fillId="33" borderId="10" xfId="0" applyNumberFormat="1" applyFont="1" applyFill="1" applyBorder="1" applyAlignment="1">
      <alignment horizontal="center"/>
    </xf>
    <xf numFmtId="2" fontId="33" fillId="33" borderId="12" xfId="0" applyNumberFormat="1" applyFont="1" applyFill="1" applyBorder="1" applyAlignment="1">
      <alignment horizontal="center"/>
    </xf>
    <xf numFmtId="164" fontId="11" fillId="40" borderId="12" xfId="0" applyNumberFormat="1" applyFont="1" applyFill="1" applyBorder="1" applyAlignment="1">
      <alignment horizontal="center"/>
    </xf>
    <xf numFmtId="0" fontId="14" fillId="33" borderId="0" xfId="0" applyFont="1" applyFill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7</xdr:row>
      <xdr:rowOff>76200</xdr:rowOff>
    </xdr:from>
    <xdr:to>
      <xdr:col>9</xdr:col>
      <xdr:colOff>381000</xdr:colOff>
      <xdr:row>17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933575"/>
          <a:ext cx="2247900" cy="1590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17</xdr:row>
      <xdr:rowOff>114300</xdr:rowOff>
    </xdr:from>
    <xdr:to>
      <xdr:col>10</xdr:col>
      <xdr:colOff>28575</xdr:colOff>
      <xdr:row>19</xdr:row>
      <xdr:rowOff>76200</xdr:rowOff>
    </xdr:to>
    <xdr:sp>
      <xdr:nvSpPr>
        <xdr:cNvPr id="1" name="AutoShape 20"/>
        <xdr:cNvSpPr>
          <a:spLocks/>
        </xdr:cNvSpPr>
      </xdr:nvSpPr>
      <xdr:spPr>
        <a:xfrm>
          <a:off x="7219950" y="4152900"/>
          <a:ext cx="666750" cy="428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38</xdr:row>
      <xdr:rowOff>47625</xdr:rowOff>
    </xdr:from>
    <xdr:to>
      <xdr:col>20</xdr:col>
      <xdr:colOff>466725</xdr:colOff>
      <xdr:row>41</xdr:row>
      <xdr:rowOff>57150</xdr:rowOff>
    </xdr:to>
    <xdr:sp>
      <xdr:nvSpPr>
        <xdr:cNvPr id="2" name="AutoShape 21"/>
        <xdr:cNvSpPr>
          <a:spLocks/>
        </xdr:cNvSpPr>
      </xdr:nvSpPr>
      <xdr:spPr>
        <a:xfrm>
          <a:off x="11715750" y="8886825"/>
          <a:ext cx="2476500" cy="638175"/>
        </a:xfrm>
        <a:prstGeom prst="wedgeRectCallout">
          <a:avLst>
            <a:gd name="adj1" fmla="val -66537"/>
            <a:gd name="adj2" fmla="val 38060"/>
          </a:avLst>
        </a:prstGeom>
        <a:solidFill>
          <a:srgbClr val="99CC00"/>
        </a:solidFill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Hehtaarikustannuksissa on huomioitu siirtojen kustannusvaikutus muttei korvausta maanmuokkauksesta</a:t>
          </a:r>
        </a:p>
      </xdr:txBody>
    </xdr:sp>
    <xdr:clientData/>
  </xdr:twoCellAnchor>
  <xdr:twoCellAnchor>
    <xdr:from>
      <xdr:col>9</xdr:col>
      <xdr:colOff>85725</xdr:colOff>
      <xdr:row>25</xdr:row>
      <xdr:rowOff>190500</xdr:rowOff>
    </xdr:from>
    <xdr:to>
      <xdr:col>10</xdr:col>
      <xdr:colOff>66675</xdr:colOff>
      <xdr:row>27</xdr:row>
      <xdr:rowOff>85725</xdr:rowOff>
    </xdr:to>
    <xdr:sp>
      <xdr:nvSpPr>
        <xdr:cNvPr id="3" name="AutoShape 22"/>
        <xdr:cNvSpPr>
          <a:spLocks/>
        </xdr:cNvSpPr>
      </xdr:nvSpPr>
      <xdr:spPr>
        <a:xfrm rot="10800000">
          <a:off x="7258050" y="6219825"/>
          <a:ext cx="666750" cy="428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23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6384" width="9.140625" style="1" customWidth="1"/>
  </cols>
  <sheetData>
    <row r="1" s="145" customFormat="1" ht="12.75"/>
    <row r="2" s="157" customFormat="1" ht="12.75"/>
    <row r="3" s="146" customFormat="1" ht="12.75"/>
    <row r="6" spans="8:10" ht="41.25">
      <c r="H6" s="4" t="s">
        <v>16</v>
      </c>
      <c r="I6" s="3"/>
      <c r="J6" s="3"/>
    </row>
    <row r="7" spans="8:10" ht="41.25">
      <c r="H7" s="4" t="s">
        <v>0</v>
      </c>
      <c r="I7" s="3"/>
      <c r="J7" s="3"/>
    </row>
    <row r="20" ht="18">
      <c r="D20" s="155" t="s">
        <v>136</v>
      </c>
    </row>
    <row r="21" ht="18">
      <c r="C21" s="155" t="s">
        <v>138</v>
      </c>
    </row>
    <row r="22" spans="6:10" ht="19.5">
      <c r="F22" s="7"/>
      <c r="G22" s="8"/>
      <c r="H22" s="156" t="s">
        <v>137</v>
      </c>
      <c r="I22" s="9"/>
      <c r="J22" s="7"/>
    </row>
    <row r="23" spans="6:10" ht="19.5">
      <c r="F23" s="7"/>
      <c r="G23" s="9"/>
      <c r="H23" s="10" t="s">
        <v>130</v>
      </c>
      <c r="I23" s="9"/>
      <c r="J23" s="7"/>
    </row>
    <row r="25" s="146" customFormat="1" ht="12.75"/>
    <row r="26" s="157" customFormat="1" ht="12.75"/>
    <row r="27" s="145" customFormat="1" ht="12.75"/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M42"/>
  <sheetViews>
    <sheetView zoomScalePageLayoutView="0" workbookViewId="0" topLeftCell="A14">
      <selection activeCell="H18" sqref="H18"/>
    </sheetView>
  </sheetViews>
  <sheetFormatPr defaultColWidth="9.140625" defaultRowHeight="12.75"/>
  <cols>
    <col min="1" max="1" width="1.28515625" style="1" customWidth="1"/>
    <col min="2" max="2" width="7.28125" style="1" customWidth="1"/>
    <col min="3" max="3" width="10.140625" style="1" customWidth="1"/>
    <col min="4" max="4" width="7.00390625" style="1" customWidth="1"/>
    <col min="5" max="5" width="5.8515625" style="1" customWidth="1"/>
    <col min="6" max="6" width="23.28125" style="1" customWidth="1"/>
    <col min="7" max="7" width="18.8515625" style="1" customWidth="1"/>
    <col min="8" max="8" width="21.00390625" style="1" customWidth="1"/>
    <col min="9" max="9" width="12.8515625" style="1" bestFit="1" customWidth="1"/>
    <col min="10" max="10" width="10.28125" style="1" bestFit="1" customWidth="1"/>
    <col min="11" max="11" width="9.140625" style="1" customWidth="1"/>
    <col min="12" max="12" width="3.421875" style="1" customWidth="1"/>
    <col min="13" max="13" width="7.7109375" style="1" customWidth="1"/>
    <col min="14" max="14" width="12.8515625" style="1" bestFit="1" customWidth="1"/>
    <col min="15" max="26" width="9.140625" style="1" customWidth="1"/>
    <col min="27" max="28" width="0" style="1" hidden="1" customWidth="1"/>
    <col min="29" max="31" width="9.140625" style="1" hidden="1" customWidth="1"/>
    <col min="32" max="32" width="13.7109375" style="1" hidden="1" customWidth="1"/>
    <col min="33" max="37" width="9.140625" style="1" hidden="1" customWidth="1"/>
    <col min="38" max="38" width="12.57421875" style="1" hidden="1" customWidth="1"/>
    <col min="39" max="39" width="7.8515625" style="1" hidden="1" customWidth="1"/>
    <col min="40" max="40" width="11.00390625" style="1" hidden="1" customWidth="1"/>
    <col min="41" max="60" width="9.140625" style="1" hidden="1" customWidth="1"/>
    <col min="61" max="73" width="0" style="1" hidden="1" customWidth="1"/>
    <col min="74" max="16384" width="9.140625" style="1" customWidth="1"/>
  </cols>
  <sheetData>
    <row r="1" s="157" customFormat="1" ht="12.75"/>
    <row r="2" s="146" customFormat="1" ht="29.25">
      <c r="B2" s="184" t="s">
        <v>1</v>
      </c>
    </row>
    <row r="3" s="157" customFormat="1" ht="12.75"/>
    <row r="5" spans="2:7" ht="16.5">
      <c r="B5" s="14"/>
      <c r="C5" s="14"/>
      <c r="D5" s="14"/>
      <c r="E5" s="14"/>
      <c r="F5" s="14"/>
      <c r="G5" s="32" t="s">
        <v>9</v>
      </c>
    </row>
    <row r="6" spans="2:33" ht="20.25" thickBot="1">
      <c r="B6" s="22" t="s">
        <v>5</v>
      </c>
      <c r="C6" s="74"/>
      <c r="D6" s="23"/>
      <c r="E6" s="23"/>
      <c r="F6" s="23"/>
      <c r="G6" s="158">
        <v>2</v>
      </c>
      <c r="AE6" s="1" t="s">
        <v>8</v>
      </c>
      <c r="AG6" s="6">
        <f>((G14+G15)/G16)*1000</f>
        <v>500</v>
      </c>
    </row>
    <row r="7" spans="2:33" ht="21" thickBot="1" thickTop="1">
      <c r="B7" s="28" t="s">
        <v>6</v>
      </c>
      <c r="C7" s="25"/>
      <c r="D7" s="26"/>
      <c r="E7" s="26"/>
      <c r="F7" s="26"/>
      <c r="G7" s="159">
        <v>200</v>
      </c>
      <c r="H7" s="11"/>
      <c r="AE7" s="1" t="s">
        <v>36</v>
      </c>
      <c r="AG7" s="52">
        <f>EXP((LN(AG6)+2.241218)/2.62463)</f>
        <v>25.071235535603027</v>
      </c>
    </row>
    <row r="8" spans="2:34" ht="21" thickBot="1" thickTop="1">
      <c r="B8" s="25" t="s">
        <v>111</v>
      </c>
      <c r="C8" s="75"/>
      <c r="D8" s="26"/>
      <c r="E8" s="26"/>
      <c r="F8" s="26"/>
      <c r="G8" s="159">
        <v>50</v>
      </c>
      <c r="AE8" t="s">
        <v>37</v>
      </c>
      <c r="AG8" s="51">
        <f>AG7*1.33</f>
        <v>33.344743262352026</v>
      </c>
      <c r="AH8" s="51"/>
    </row>
    <row r="9" spans="2:34" ht="21" thickBot="1" thickTop="1">
      <c r="B9" s="25" t="s">
        <v>109</v>
      </c>
      <c r="C9" s="75"/>
      <c r="D9" s="26"/>
      <c r="E9" s="26"/>
      <c r="F9" s="26"/>
      <c r="G9" s="159">
        <v>20</v>
      </c>
      <c r="AE9"/>
      <c r="AG9" s="51"/>
      <c r="AH9" s="51"/>
    </row>
    <row r="10" spans="2:34" ht="21" thickBot="1" thickTop="1">
      <c r="B10" s="25" t="s">
        <v>110</v>
      </c>
      <c r="C10" s="74"/>
      <c r="D10" s="23"/>
      <c r="E10" s="23"/>
      <c r="F10" s="23"/>
      <c r="G10" s="160">
        <v>10</v>
      </c>
      <c r="AE10"/>
      <c r="AG10" s="51"/>
      <c r="AH10" s="51"/>
    </row>
    <row r="11" spans="2:33" s="19" customFormat="1" ht="15" thickTop="1">
      <c r="B11" s="36"/>
      <c r="C11" s="36"/>
      <c r="D11" s="36"/>
      <c r="E11" s="36"/>
      <c r="F11" s="36"/>
      <c r="G11" s="37"/>
      <c r="I11" s="54"/>
      <c r="J11" s="59"/>
      <c r="AE11" s="1" t="s">
        <v>38</v>
      </c>
      <c r="AF11" s="1"/>
      <c r="AG11" s="53">
        <f>((-7+0.051*I20^2)/432)*((100*I19)/24)</f>
        <v>0.13423544346214697</v>
      </c>
    </row>
    <row r="12" spans="2:33" ht="20.25">
      <c r="B12" s="29" t="s">
        <v>2</v>
      </c>
      <c r="C12" s="15"/>
      <c r="D12" s="15"/>
      <c r="E12" s="15"/>
      <c r="F12" s="15"/>
      <c r="AE12" s="40"/>
      <c r="AF12" s="40"/>
      <c r="AG12" s="40"/>
    </row>
    <row r="13" spans="2:35" s="19" customFormat="1" ht="16.5">
      <c r="B13" s="20"/>
      <c r="C13" s="21"/>
      <c r="D13" s="21"/>
      <c r="E13" s="21"/>
      <c r="F13" s="21"/>
      <c r="G13" s="32" t="s">
        <v>9</v>
      </c>
      <c r="AE13" s="1" t="s">
        <v>13</v>
      </c>
      <c r="AF13" s="1"/>
      <c r="AG13" s="68">
        <f>AG11*G16</f>
        <v>134.23544346214697</v>
      </c>
      <c r="AH13" s="117">
        <f>AG13/G6</f>
        <v>67.11772173107349</v>
      </c>
      <c r="AI13" s="19" t="s">
        <v>93</v>
      </c>
    </row>
    <row r="14" spans="2:7" ht="20.25" thickBot="1">
      <c r="B14" s="12" t="s">
        <v>3</v>
      </c>
      <c r="C14" s="13"/>
      <c r="D14" s="13"/>
      <c r="E14" s="13"/>
      <c r="F14" s="13"/>
      <c r="G14" s="160">
        <v>200</v>
      </c>
    </row>
    <row r="15" spans="2:8" ht="21" thickBot="1" thickTop="1">
      <c r="B15" s="12" t="s">
        <v>4</v>
      </c>
      <c r="C15" s="16"/>
      <c r="D15" s="16"/>
      <c r="E15" s="16"/>
      <c r="F15" s="16"/>
      <c r="G15" s="160">
        <v>300</v>
      </c>
      <c r="H15" s="2"/>
    </row>
    <row r="16" spans="2:7" ht="21" thickBot="1" thickTop="1">
      <c r="B16" s="28" t="s">
        <v>7</v>
      </c>
      <c r="C16" s="16"/>
      <c r="D16" s="16"/>
      <c r="E16" s="16"/>
      <c r="F16" s="16"/>
      <c r="G16" s="159">
        <v>1000</v>
      </c>
    </row>
    <row r="17" spans="7:33" ht="15.75" thickTop="1">
      <c r="G17" s="7"/>
      <c r="AG17" s="89"/>
    </row>
    <row r="18" spans="2:14" s="40" customFormat="1" ht="16.5">
      <c r="B18" s="38"/>
      <c r="C18" s="38"/>
      <c r="D18" s="38"/>
      <c r="E18" s="38"/>
      <c r="F18" s="39"/>
      <c r="G18" s="32" t="s">
        <v>9</v>
      </c>
      <c r="H18" s="32" t="s">
        <v>10</v>
      </c>
      <c r="I18" s="33" t="s">
        <v>11</v>
      </c>
      <c r="N18" s="33" t="s">
        <v>11</v>
      </c>
    </row>
    <row r="19" spans="2:14" ht="20.25" thickBot="1">
      <c r="B19" s="12" t="s">
        <v>76</v>
      </c>
      <c r="C19" s="12"/>
      <c r="D19" s="12"/>
      <c r="E19" s="12"/>
      <c r="F19" s="24"/>
      <c r="G19" s="161"/>
      <c r="H19" s="147">
        <v>0.28</v>
      </c>
      <c r="I19" s="34">
        <f>IF(COUNTA(F19:G19)=1,G19,H19)</f>
        <v>0.28</v>
      </c>
      <c r="K19" s="11" t="s">
        <v>50</v>
      </c>
      <c r="N19" s="151">
        <f>AG11*1000</f>
        <v>134.23544346214697</v>
      </c>
    </row>
    <row r="20" spans="2:14" ht="21" thickBot="1" thickTop="1">
      <c r="B20" s="28" t="s">
        <v>95</v>
      </c>
      <c r="C20" s="28"/>
      <c r="D20" s="28"/>
      <c r="E20" s="28"/>
      <c r="F20" s="27"/>
      <c r="G20" s="162"/>
      <c r="H20" s="148">
        <f>AG8</f>
        <v>33.344743262352026</v>
      </c>
      <c r="I20" s="35">
        <f>IF(COUNTA(F20:G20)=1,G20,H20)</f>
        <v>33.344743262352026</v>
      </c>
      <c r="K20" s="11"/>
      <c r="N20" s="108"/>
    </row>
    <row r="21" spans="2:9" s="7" customFormat="1" ht="20.25" thickTop="1">
      <c r="B21" s="72"/>
      <c r="C21" s="72"/>
      <c r="D21" s="72"/>
      <c r="E21" s="72"/>
      <c r="F21" s="72"/>
      <c r="G21" s="73"/>
      <c r="H21" s="73"/>
      <c r="I21" s="73"/>
    </row>
    <row r="22" spans="2:9" ht="16.5">
      <c r="B22" s="30"/>
      <c r="C22" s="30"/>
      <c r="D22" s="30"/>
      <c r="E22" s="30"/>
      <c r="F22" s="31"/>
      <c r="G22" s="32" t="s">
        <v>9</v>
      </c>
      <c r="H22" s="32" t="s">
        <v>10</v>
      </c>
      <c r="I22" s="33" t="s">
        <v>11</v>
      </c>
    </row>
    <row r="23" spans="2:11" ht="20.25" thickBot="1">
      <c r="B23" s="22" t="s">
        <v>15</v>
      </c>
      <c r="C23" s="22"/>
      <c r="D23" s="22"/>
      <c r="E23" s="23"/>
      <c r="F23" s="24"/>
      <c r="G23" s="161"/>
      <c r="H23" s="149">
        <v>0.3</v>
      </c>
      <c r="I23" s="34">
        <f>IF(COUNTA(F23:G23)=1,G23,H23)</f>
        <v>0.3</v>
      </c>
      <c r="K23" s="70"/>
    </row>
    <row r="24" spans="2:12" ht="21" thickBot="1" thickTop="1">
      <c r="B24" s="25" t="s">
        <v>17</v>
      </c>
      <c r="C24" s="26"/>
      <c r="D24" s="26"/>
      <c r="E24" s="26"/>
      <c r="F24" s="27"/>
      <c r="G24" s="161"/>
      <c r="H24" s="149">
        <v>0.02</v>
      </c>
      <c r="I24" s="34">
        <f>IF(COUNTA(F24:G24)=1,G24,H24)</f>
        <v>0.02</v>
      </c>
      <c r="L24" s="70"/>
    </row>
    <row r="25" spans="2:9" ht="21" thickBot="1" thickTop="1">
      <c r="B25" s="25" t="s">
        <v>12</v>
      </c>
      <c r="C25" s="26"/>
      <c r="D25" s="26"/>
      <c r="E25" s="26"/>
      <c r="F25" s="27"/>
      <c r="G25" s="163"/>
      <c r="H25" s="150">
        <v>8</v>
      </c>
      <c r="I25" s="35">
        <f>IF(COUNTA(F25:G25)=1,G25,H25)</f>
        <v>8</v>
      </c>
    </row>
    <row r="26" spans="2:9" ht="21" thickBot="1" thickTop="1">
      <c r="B26" s="25" t="s">
        <v>129</v>
      </c>
      <c r="C26" s="26"/>
      <c r="D26" s="26"/>
      <c r="E26" s="26"/>
      <c r="F26" s="27"/>
      <c r="G26" s="161"/>
      <c r="H26" s="149">
        <v>0.06</v>
      </c>
      <c r="I26" s="34">
        <f>IF(COUNTA(F26:G26)=1,G26,H26)</f>
        <v>0.06</v>
      </c>
    </row>
    <row r="27" spans="2:11" ht="21" thickBot="1" thickTop="1">
      <c r="B27" s="25" t="s">
        <v>14</v>
      </c>
      <c r="C27" s="26"/>
      <c r="D27" s="26"/>
      <c r="E27" s="26"/>
      <c r="F27" s="27"/>
      <c r="G27" s="163"/>
      <c r="H27" s="150">
        <v>0</v>
      </c>
      <c r="I27" s="35">
        <f>IF(COUNTA(F27:G27)=1,G27,H27)</f>
        <v>0</v>
      </c>
      <c r="K27" s="2" t="s">
        <v>139</v>
      </c>
    </row>
    <row r="28" ht="13.5" thickTop="1"/>
    <row r="30" s="157" customFormat="1" ht="12.75"/>
    <row r="31" s="146" customFormat="1" ht="29.25">
      <c r="B31" s="184" t="s">
        <v>39</v>
      </c>
    </row>
    <row r="32" s="157" customFormat="1" ht="12.75"/>
    <row r="34" spans="2:10" ht="18">
      <c r="B34" s="14"/>
      <c r="C34" s="14"/>
      <c r="D34" s="14"/>
      <c r="E34" s="14"/>
      <c r="F34" s="14"/>
      <c r="G34" s="55" t="s">
        <v>42</v>
      </c>
      <c r="H34" s="55" t="s">
        <v>43</v>
      </c>
      <c r="I34" s="55" t="s">
        <v>40</v>
      </c>
      <c r="J34" s="55" t="s">
        <v>41</v>
      </c>
    </row>
    <row r="35" spans="2:39" ht="21" thickBot="1">
      <c r="B35" s="56" t="s">
        <v>44</v>
      </c>
      <c r="C35" s="13"/>
      <c r="D35" s="13"/>
      <c r="E35" s="13"/>
      <c r="F35" s="13"/>
      <c r="G35" s="164">
        <f>AG13*(1-I24)</f>
        <v>131.55073459290404</v>
      </c>
      <c r="H35" s="150">
        <f>(AM36*AM39)*0.278*0.001</f>
        <v>285.2277801496449</v>
      </c>
      <c r="I35" s="164">
        <f>G35/G6</f>
        <v>65.77536729645202</v>
      </c>
      <c r="J35" s="150">
        <f>H35/G6</f>
        <v>142.61389007482245</v>
      </c>
      <c r="K35" s="2" t="s">
        <v>48</v>
      </c>
      <c r="AM35" s="5" t="s">
        <v>46</v>
      </c>
    </row>
    <row r="36" spans="38:39" ht="13.5" thickTop="1">
      <c r="AL36" s="1" t="s">
        <v>45</v>
      </c>
      <c r="AM36" s="57">
        <f>G35*432</f>
        <v>56829.91734413454</v>
      </c>
    </row>
    <row r="38" spans="2:39" ht="20.25">
      <c r="B38" s="60" t="s">
        <v>49</v>
      </c>
      <c r="J38" s="41" t="s">
        <v>135</v>
      </c>
      <c r="AM38" s="5" t="s">
        <v>47</v>
      </c>
    </row>
    <row r="39" ht="12.75">
      <c r="AM39" s="58">
        <f>(19.1*(1-I23)-2.441*I23)*(1/(1-I23))</f>
        <v>18.053857142857144</v>
      </c>
    </row>
    <row r="40" spans="2:16" ht="16.5">
      <c r="B40" s="21"/>
      <c r="C40" s="14"/>
      <c r="D40" s="14"/>
      <c r="E40" s="14"/>
      <c r="F40" s="14"/>
      <c r="G40" s="33" t="s">
        <v>22</v>
      </c>
      <c r="H40" s="33" t="s">
        <v>23</v>
      </c>
      <c r="O40" s="144" t="s">
        <v>132</v>
      </c>
      <c r="P40" s="144" t="s">
        <v>133</v>
      </c>
    </row>
    <row r="41" spans="2:17" ht="20.25" thickBot="1">
      <c r="B41" s="61" t="s">
        <v>127</v>
      </c>
      <c r="C41" s="62"/>
      <c r="D41" s="62"/>
      <c r="E41" s="62"/>
      <c r="F41" s="62"/>
      <c r="G41" s="165">
        <f>('Kantojen korjuu'!D93)</f>
        <v>35.2840948652444</v>
      </c>
      <c r="H41" s="166">
        <f>('Kantojen korjuu'!E93)</f>
        <v>16.27348008154525</v>
      </c>
      <c r="J41" s="61" t="s">
        <v>24</v>
      </c>
      <c r="K41" s="62"/>
      <c r="L41" s="62"/>
      <c r="M41" s="62"/>
      <c r="N41" s="62"/>
      <c r="O41" s="165">
        <f>'Kantojen korjuu'!AN22</f>
        <v>15.177396109264082</v>
      </c>
      <c r="P41" s="166">
        <f>O41*'Kantojen korjuu'!G19+('Kantojen korjuu'!G21/'Leimikkotiedot ja tulokset'!G35)</f>
        <v>865.5448711334583</v>
      </c>
      <c r="Q41" s="2"/>
    </row>
    <row r="42" spans="2:17" ht="21" thickBot="1" thickTop="1">
      <c r="B42" s="28" t="s">
        <v>128</v>
      </c>
      <c r="C42" s="16"/>
      <c r="D42" s="16"/>
      <c r="E42" s="16"/>
      <c r="F42" s="16"/>
      <c r="G42" s="165">
        <f>('Kantojen korjuu'!D94)</f>
        <v>29.49667294825746</v>
      </c>
      <c r="H42" s="166">
        <f>('Kantojen korjuu'!E94)</f>
        <v>13.60424637584075</v>
      </c>
      <c r="J42" s="28" t="s">
        <v>27</v>
      </c>
      <c r="K42" s="16"/>
      <c r="L42" s="16"/>
      <c r="M42" s="16"/>
      <c r="N42" s="16"/>
      <c r="O42" s="165">
        <f>'Kantojen korjuu'!AX35</f>
        <v>9.511293246756841</v>
      </c>
      <c r="P42" s="166">
        <f>(O42*'Kantojen korjuu'!G32)+('Kantojen korjuu'!G33/'Leimikkotiedot ja tulokset'!G35)</f>
        <v>571.1336926005742</v>
      </c>
      <c r="Q42" s="2"/>
    </row>
    <row r="43" ht="13.5" thickTop="1"/>
    <row r="44" s="157" customFormat="1" ht="12.75"/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96"/>
  <sheetViews>
    <sheetView zoomScalePageLayoutView="0" workbookViewId="0" topLeftCell="A25">
      <selection activeCell="J50" sqref="J50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33.7109375" style="1" customWidth="1"/>
    <col min="4" max="4" width="26.57421875" style="1" customWidth="1"/>
    <col min="5" max="5" width="21.00390625" style="1" bestFit="1" customWidth="1"/>
    <col min="6" max="6" width="10.421875" style="1" bestFit="1" customWidth="1"/>
    <col min="7" max="7" width="12.8515625" style="1" bestFit="1" customWidth="1"/>
    <col min="8" max="8" width="4.57421875" style="1" customWidth="1"/>
    <col min="9" max="9" width="4.00390625" style="1" customWidth="1"/>
    <col min="10" max="10" width="9.140625" style="1" customWidth="1"/>
    <col min="11" max="11" width="1.28515625" style="1" customWidth="1"/>
    <col min="12" max="12" width="10.8515625" style="1" customWidth="1"/>
    <col min="13" max="13" width="4.28125" style="1" customWidth="1"/>
    <col min="14" max="14" width="14.28125" style="1" customWidth="1"/>
    <col min="15" max="15" width="3.140625" style="1" customWidth="1"/>
    <col min="16" max="23" width="9.140625" style="1" customWidth="1"/>
    <col min="24" max="26" width="0" style="1" hidden="1" customWidth="1"/>
    <col min="27" max="27" width="9.140625" style="1" hidden="1" customWidth="1"/>
    <col min="28" max="28" width="17.00390625" style="1" hidden="1" customWidth="1"/>
    <col min="29" max="29" width="4.8515625" style="1" hidden="1" customWidth="1"/>
    <col min="30" max="30" width="19.00390625" style="1" hidden="1" customWidth="1"/>
    <col min="31" max="31" width="16.140625" style="1" hidden="1" customWidth="1"/>
    <col min="32" max="32" width="18.421875" style="1" hidden="1" customWidth="1"/>
    <col min="33" max="33" width="19.00390625" style="1" hidden="1" customWidth="1"/>
    <col min="34" max="34" width="9.140625" style="1" hidden="1" customWidth="1"/>
    <col min="35" max="35" width="17.7109375" style="1" hidden="1" customWidth="1"/>
    <col min="36" max="36" width="17.421875" style="1" hidden="1" customWidth="1"/>
    <col min="37" max="37" width="19.00390625" style="1" hidden="1" customWidth="1"/>
    <col min="38" max="38" width="16.8515625" style="1" hidden="1" customWidth="1"/>
    <col min="39" max="39" width="18.7109375" style="6" hidden="1" customWidth="1"/>
    <col min="40" max="41" width="16.140625" style="1" hidden="1" customWidth="1"/>
    <col min="42" max="42" width="20.140625" style="1" hidden="1" customWidth="1"/>
    <col min="43" max="44" width="0" style="1" hidden="1" customWidth="1"/>
    <col min="45" max="45" width="12.00390625" style="1" hidden="1" customWidth="1"/>
    <col min="46" max="46" width="11.57421875" style="1" hidden="1" customWidth="1"/>
    <col min="47" max="47" width="16.140625" style="1" hidden="1" customWidth="1"/>
    <col min="48" max="48" width="0" style="1" hidden="1" customWidth="1"/>
    <col min="49" max="49" width="24.7109375" style="1" hidden="1" customWidth="1"/>
    <col min="50" max="57" width="0" style="1" hidden="1" customWidth="1"/>
    <col min="58" max="16384" width="9.140625" style="1" customWidth="1"/>
  </cols>
  <sheetData>
    <row r="1" s="157" customFormat="1" ht="12.75">
      <c r="AM1" s="183"/>
    </row>
    <row r="2" spans="2:39" s="146" customFormat="1" ht="29.25">
      <c r="B2" s="184" t="s">
        <v>131</v>
      </c>
      <c r="AM2" s="185"/>
    </row>
    <row r="3" s="157" customFormat="1" ht="12.75">
      <c r="AM3" s="183"/>
    </row>
    <row r="4" spans="43:49" ht="12.75">
      <c r="AQ4" s="15"/>
      <c r="AR4" s="77"/>
      <c r="AS4" s="15"/>
      <c r="AT4" s="77"/>
      <c r="AU4" s="77"/>
      <c r="AV4" s="15"/>
      <c r="AW4" s="15"/>
    </row>
    <row r="5" spans="2:49" ht="20.25">
      <c r="B5" s="41" t="s">
        <v>18</v>
      </c>
      <c r="AA5" s="15"/>
      <c r="AB5" s="15"/>
      <c r="AC5" s="15"/>
      <c r="AD5" s="15"/>
      <c r="AE5" s="15"/>
      <c r="AF5" s="15"/>
      <c r="AG5" s="15"/>
      <c r="AH5" s="15"/>
      <c r="AQ5" s="15"/>
      <c r="AR5" s="77"/>
      <c r="AS5" s="84"/>
      <c r="AT5" s="84"/>
      <c r="AU5" s="84"/>
      <c r="AV5" s="84"/>
      <c r="AW5" s="15"/>
    </row>
    <row r="6" spans="2:49" ht="17.25" thickBot="1">
      <c r="B6" s="14"/>
      <c r="C6" s="14"/>
      <c r="D6" s="14"/>
      <c r="E6" s="32" t="s">
        <v>9</v>
      </c>
      <c r="F6" s="32" t="s">
        <v>10</v>
      </c>
      <c r="G6" s="33" t="s">
        <v>11</v>
      </c>
      <c r="AA6" s="15"/>
      <c r="AB6" s="15"/>
      <c r="AC6" s="15"/>
      <c r="AD6" s="15"/>
      <c r="AE6" s="15"/>
      <c r="AF6" s="15"/>
      <c r="AG6" s="15"/>
      <c r="AH6" s="15"/>
      <c r="AQ6" s="15"/>
      <c r="AR6" s="77"/>
      <c r="AS6" s="84"/>
      <c r="AT6" s="84"/>
      <c r="AU6" s="84"/>
      <c r="AV6" s="84"/>
      <c r="AW6" s="15"/>
    </row>
    <row r="7" spans="2:49" ht="21" thickBot="1" thickTop="1">
      <c r="B7" s="42" t="s">
        <v>19</v>
      </c>
      <c r="C7" s="28"/>
      <c r="D7" s="28"/>
      <c r="E7" s="163"/>
      <c r="F7" s="152">
        <v>3</v>
      </c>
      <c r="G7" s="66">
        <f>IF(COUNTA(D7:E7)=1,E7,F7)</f>
        <v>3</v>
      </c>
      <c r="AA7" s="15"/>
      <c r="AB7" s="97"/>
      <c r="AC7" s="101" t="s">
        <v>56</v>
      </c>
      <c r="AD7" s="101" t="s">
        <v>51</v>
      </c>
      <c r="AE7" s="101" t="s">
        <v>52</v>
      </c>
      <c r="AF7" s="101" t="s">
        <v>53</v>
      </c>
      <c r="AG7" s="102" t="s">
        <v>54</v>
      </c>
      <c r="AH7" s="15"/>
      <c r="AQ7" s="15"/>
      <c r="AR7" s="77"/>
      <c r="AS7" s="84"/>
      <c r="AT7" s="84"/>
      <c r="AU7" s="84"/>
      <c r="AV7" s="84"/>
      <c r="AW7" s="15"/>
    </row>
    <row r="8" spans="2:49" ht="21" thickBot="1" thickTop="1">
      <c r="B8" s="28" t="s">
        <v>20</v>
      </c>
      <c r="C8" s="28"/>
      <c r="D8" s="28"/>
      <c r="E8" s="163"/>
      <c r="F8" s="152">
        <v>0</v>
      </c>
      <c r="G8" s="66">
        <f>IF(COUNTA(D8:E8)=1,E8,F8)</f>
        <v>0</v>
      </c>
      <c r="AA8" s="15"/>
      <c r="AB8" s="103" t="s">
        <v>55</v>
      </c>
      <c r="AC8" s="104">
        <f>G8+D25+D37+G9</f>
        <v>16.010283354114552</v>
      </c>
      <c r="AD8" s="105">
        <f>POWER(1+'Leimikkotiedot ja tulokset'!I26,AE8)</f>
        <v>1.039610307647798</v>
      </c>
      <c r="AE8" s="106">
        <f>'Leimikkotiedot ja tulokset'!I25/12</f>
        <v>0.6666666666666666</v>
      </c>
      <c r="AF8" s="104">
        <f>AC8*AD8</f>
        <v>16.64445560329945</v>
      </c>
      <c r="AG8" s="107">
        <f>AF8-AC8</f>
        <v>0.6341722491848962</v>
      </c>
      <c r="AH8" s="15"/>
      <c r="AQ8" s="15"/>
      <c r="AR8" s="77"/>
      <c r="AS8" s="84"/>
      <c r="AT8" s="84"/>
      <c r="AU8" s="84"/>
      <c r="AV8" s="84"/>
      <c r="AW8" s="15"/>
    </row>
    <row r="9" spans="2:49" ht="21" thickBot="1" thickTop="1">
      <c r="B9" s="28" t="s">
        <v>84</v>
      </c>
      <c r="C9" s="28"/>
      <c r="D9" s="28"/>
      <c r="E9" s="167"/>
      <c r="F9" s="200">
        <v>0</v>
      </c>
      <c r="G9" s="66">
        <f>IF(COUNTA(D9:E9)=1,E9,F9)</f>
        <v>0</v>
      </c>
      <c r="AA9" s="15"/>
      <c r="AB9" s="98"/>
      <c r="AC9" s="63"/>
      <c r="AD9" s="64"/>
      <c r="AE9" s="65"/>
      <c r="AF9" s="63"/>
      <c r="AG9" s="63"/>
      <c r="AH9" s="15"/>
      <c r="AQ9" s="15"/>
      <c r="AR9" s="77"/>
      <c r="AS9" s="84"/>
      <c r="AT9" s="84"/>
      <c r="AU9" s="84"/>
      <c r="AV9" s="84"/>
      <c r="AW9" s="15"/>
    </row>
    <row r="10" spans="2:52" s="19" customFormat="1" ht="15" thickTop="1">
      <c r="B10" s="17"/>
      <c r="C10" s="17"/>
      <c r="D10" s="17"/>
      <c r="E10" s="43"/>
      <c r="F10" s="43"/>
      <c r="G10" s="43"/>
      <c r="AA10" s="18"/>
      <c r="AB10" s="98"/>
      <c r="AC10" s="63"/>
      <c r="AD10" s="64"/>
      <c r="AE10" s="65"/>
      <c r="AF10" s="63"/>
      <c r="AG10" s="99"/>
      <c r="AH10" s="18"/>
      <c r="AM10" s="76"/>
      <c r="AQ10" s="18"/>
      <c r="AR10" s="77"/>
      <c r="AS10" s="109"/>
      <c r="AT10" s="84"/>
      <c r="AU10" s="109"/>
      <c r="AV10" s="110"/>
      <c r="AW10" s="18"/>
      <c r="AZ10" s="18"/>
    </row>
    <row r="11" spans="27:49" ht="12.75">
      <c r="AA11" s="15"/>
      <c r="AB11" s="15"/>
      <c r="AC11" s="15"/>
      <c r="AD11" s="15"/>
      <c r="AE11" s="15"/>
      <c r="AF11" s="15"/>
      <c r="AG11" s="15"/>
      <c r="AH11" s="15"/>
      <c r="AQ11" s="15"/>
      <c r="AR11" s="77"/>
      <c r="AS11" s="84"/>
      <c r="AT11" s="84"/>
      <c r="AU11" s="84"/>
      <c r="AV11" s="84"/>
      <c r="AW11" s="15"/>
    </row>
    <row r="12" spans="2:49" ht="17.25" thickBot="1">
      <c r="B12" s="113"/>
      <c r="C12" s="13"/>
      <c r="D12" s="194" t="s">
        <v>70</v>
      </c>
      <c r="E12" s="195" t="s">
        <v>71</v>
      </c>
      <c r="F12" s="44"/>
      <c r="G12" s="44"/>
      <c r="H12" s="5"/>
      <c r="I12" s="45"/>
      <c r="Y12" s="15"/>
      <c r="AA12" s="15"/>
      <c r="AB12" s="15"/>
      <c r="AC12" s="15"/>
      <c r="AD12" s="15"/>
      <c r="AE12" s="15"/>
      <c r="AF12" s="15"/>
      <c r="AG12" s="15"/>
      <c r="AH12" s="15"/>
      <c r="AQ12" s="15"/>
      <c r="AR12" s="77"/>
      <c r="AS12" s="84"/>
      <c r="AT12" s="84"/>
      <c r="AU12" s="84"/>
      <c r="AV12" s="84"/>
      <c r="AW12" s="15"/>
    </row>
    <row r="13" spans="2:5" ht="20.25" thickTop="1">
      <c r="B13" s="46" t="s">
        <v>21</v>
      </c>
      <c r="D13" s="192">
        <f>G7+G8+G9</f>
        <v>3</v>
      </c>
      <c r="E13" s="193">
        <f>('Leimikkotiedot ja tulokset'!G35/'Leimikkotiedot ja tulokset'!H35)*D13</f>
        <v>1.3836387310228253</v>
      </c>
    </row>
    <row r="14" s="157" customFormat="1" ht="12.75">
      <c r="AM14" s="183"/>
    </row>
    <row r="15" spans="43:58" ht="12.75">
      <c r="AQ15" s="15"/>
      <c r="AR15" s="77"/>
      <c r="AS15" s="77"/>
      <c r="AT15" s="77"/>
      <c r="AV15" s="15"/>
      <c r="AW15" s="77"/>
      <c r="AX15" s="77"/>
      <c r="AY15" s="77"/>
      <c r="AZ15" s="77"/>
      <c r="BA15" s="15"/>
      <c r="BB15" s="77"/>
      <c r="BC15" s="77"/>
      <c r="BD15" s="77"/>
      <c r="BE15" s="77"/>
      <c r="BF15" s="15"/>
    </row>
    <row r="16" spans="2:63" ht="20.25">
      <c r="B16" s="201" t="s">
        <v>140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77"/>
      <c r="AN16" s="15"/>
      <c r="AO16" s="15"/>
      <c r="AP16" s="15"/>
      <c r="AQ16" s="15"/>
      <c r="AR16" s="77"/>
      <c r="AS16" s="84"/>
      <c r="AT16" s="84"/>
      <c r="AV16" s="15"/>
      <c r="AW16" s="84"/>
      <c r="AX16" s="84"/>
      <c r="AY16" s="84"/>
      <c r="AZ16" s="84"/>
      <c r="BA16" s="15"/>
      <c r="BB16" s="84"/>
      <c r="BC16" s="84"/>
      <c r="BD16" s="84"/>
      <c r="BE16" s="84"/>
      <c r="BF16" s="15"/>
      <c r="BG16" s="90"/>
      <c r="BH16" s="90"/>
      <c r="BI16" s="90"/>
      <c r="BJ16" s="90"/>
      <c r="BK16" s="90"/>
    </row>
    <row r="17" spans="2:63" ht="20.25">
      <c r="B17" s="41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77"/>
      <c r="AN17" s="15"/>
      <c r="AO17" s="15"/>
      <c r="AP17" s="15"/>
      <c r="AQ17" s="15"/>
      <c r="AR17" s="77"/>
      <c r="AS17" s="84"/>
      <c r="AT17" s="84"/>
      <c r="AV17" s="15"/>
      <c r="AW17" s="84"/>
      <c r="AX17" s="84"/>
      <c r="AY17" s="84"/>
      <c r="AZ17" s="84"/>
      <c r="BA17" s="15"/>
      <c r="BB17" s="84"/>
      <c r="BC17" s="84"/>
      <c r="BD17" s="84"/>
      <c r="BE17" s="84"/>
      <c r="BF17" s="15"/>
      <c r="BG17" s="90"/>
      <c r="BH17" s="90"/>
      <c r="BI17" s="90"/>
      <c r="BJ17" s="90"/>
      <c r="BK17" s="90"/>
    </row>
    <row r="18" spans="2:63" ht="16.5">
      <c r="B18" s="14"/>
      <c r="C18" s="14"/>
      <c r="D18" s="14"/>
      <c r="E18" s="32" t="s">
        <v>9</v>
      </c>
      <c r="F18" s="32" t="s">
        <v>10</v>
      </c>
      <c r="G18" s="33" t="s">
        <v>11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77"/>
      <c r="AN18" s="15"/>
      <c r="AO18" s="15"/>
      <c r="AP18" s="15"/>
      <c r="AQ18" s="15"/>
      <c r="AR18" s="77"/>
      <c r="AS18" s="84"/>
      <c r="AT18" s="84"/>
      <c r="AV18" s="15"/>
      <c r="AW18" s="84"/>
      <c r="AX18" s="84"/>
      <c r="AY18" s="84"/>
      <c r="AZ18" s="84"/>
      <c r="BA18" s="15"/>
      <c r="BB18" s="84"/>
      <c r="BC18" s="84"/>
      <c r="BD18" s="84"/>
      <c r="BE18" s="84"/>
      <c r="BF18" s="15"/>
      <c r="BG18" s="90"/>
      <c r="BH18" s="90"/>
      <c r="BI18" s="90"/>
      <c r="BJ18" s="90"/>
      <c r="BK18" s="90"/>
    </row>
    <row r="19" spans="2:63" ht="20.25" thickBot="1">
      <c r="B19" s="12" t="s">
        <v>97</v>
      </c>
      <c r="C19" s="12"/>
      <c r="D19" s="12"/>
      <c r="E19" s="163"/>
      <c r="F19" s="150">
        <v>57</v>
      </c>
      <c r="G19" s="35">
        <f>IF(COUNTA(D19:E19)=1,E19,F19)</f>
        <v>57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77"/>
      <c r="AN19" s="15"/>
      <c r="AO19" s="15"/>
      <c r="AP19" s="15"/>
      <c r="AQ19" s="15"/>
      <c r="AR19" s="77"/>
      <c r="AS19" s="84"/>
      <c r="AT19" s="84"/>
      <c r="AV19" s="15"/>
      <c r="AW19" s="84"/>
      <c r="AX19" s="84"/>
      <c r="AY19" s="84"/>
      <c r="AZ19" s="84"/>
      <c r="BA19" s="15"/>
      <c r="BB19" s="84"/>
      <c r="BC19" s="84"/>
      <c r="BD19" s="84"/>
      <c r="BE19" s="84"/>
      <c r="BF19" s="15"/>
      <c r="BG19" s="90"/>
      <c r="BH19" s="90"/>
      <c r="BI19" s="90"/>
      <c r="BJ19" s="90"/>
      <c r="BK19" s="90"/>
    </row>
    <row r="20" spans="2:63" ht="21" thickBot="1" thickTop="1">
      <c r="B20" s="12" t="s">
        <v>98</v>
      </c>
      <c r="C20" s="12"/>
      <c r="D20" s="12"/>
      <c r="E20" s="168"/>
      <c r="F20" s="153">
        <v>1.2</v>
      </c>
      <c r="G20" s="71">
        <f>IF(COUNTA(D20:E20)=1,E20,F20)</f>
        <v>1.2</v>
      </c>
      <c r="AA20" s="15"/>
      <c r="AB20" s="78" t="s">
        <v>77</v>
      </c>
      <c r="AC20" s="15"/>
      <c r="AD20" s="15"/>
      <c r="AE20" s="15"/>
      <c r="AF20" s="78" t="s">
        <v>94</v>
      </c>
      <c r="AG20" s="15"/>
      <c r="AH20" s="15"/>
      <c r="AI20" s="79" t="s">
        <v>80</v>
      </c>
      <c r="AJ20" s="15"/>
      <c r="AK20" s="15"/>
      <c r="AL20" s="15"/>
      <c r="AM20" s="77"/>
      <c r="AN20" s="15"/>
      <c r="AO20" s="15"/>
      <c r="AP20" s="15"/>
      <c r="AQ20" s="15"/>
      <c r="AR20" s="77"/>
      <c r="AS20" s="84"/>
      <c r="AT20" s="84"/>
      <c r="AV20" s="15"/>
      <c r="AW20" s="84"/>
      <c r="AX20" s="84"/>
      <c r="AY20" s="84"/>
      <c r="AZ20" s="84"/>
      <c r="BA20" s="15"/>
      <c r="BB20" s="84"/>
      <c r="BC20" s="84"/>
      <c r="BD20" s="84"/>
      <c r="BE20" s="84"/>
      <c r="BF20" s="15"/>
      <c r="BG20" s="90"/>
      <c r="BH20" s="90"/>
      <c r="BI20" s="90"/>
      <c r="BJ20" s="90"/>
      <c r="BK20" s="90"/>
    </row>
    <row r="21" spans="2:58" ht="21" thickBot="1" thickTop="1">
      <c r="B21" s="12" t="s">
        <v>26</v>
      </c>
      <c r="C21" s="12"/>
      <c r="D21" s="12"/>
      <c r="E21" s="163"/>
      <c r="F21" s="150">
        <v>57</v>
      </c>
      <c r="G21" s="35">
        <f>IF(COUNTA(D21:E21)=1,E21,F21)</f>
        <v>57</v>
      </c>
      <c r="AA21" s="15"/>
      <c r="AB21" s="113" t="s">
        <v>78</v>
      </c>
      <c r="AC21" s="113"/>
      <c r="AD21" s="115" t="s">
        <v>79</v>
      </c>
      <c r="AE21" s="15"/>
      <c r="AF21" s="113" t="s">
        <v>37</v>
      </c>
      <c r="AG21" s="115" t="s">
        <v>79</v>
      </c>
      <c r="AH21" s="15"/>
      <c r="AI21" s="112" t="s">
        <v>81</v>
      </c>
      <c r="AJ21" s="113" t="s">
        <v>90</v>
      </c>
      <c r="AK21" s="115" t="s">
        <v>79</v>
      </c>
      <c r="AL21" s="15"/>
      <c r="AM21" s="112" t="s">
        <v>82</v>
      </c>
      <c r="AN21" s="113" t="s">
        <v>96</v>
      </c>
      <c r="AO21" s="113" t="s">
        <v>83</v>
      </c>
      <c r="AP21" s="15"/>
      <c r="AQ21" s="15"/>
      <c r="AR21" s="77"/>
      <c r="AS21" s="84"/>
      <c r="AT21" s="84"/>
      <c r="AV21" s="15"/>
      <c r="AW21" s="77"/>
      <c r="AX21" s="77"/>
      <c r="AY21" s="77"/>
      <c r="AZ21" s="77"/>
      <c r="BA21" s="15"/>
      <c r="BB21" s="15"/>
      <c r="BC21" s="15"/>
      <c r="BD21" s="15"/>
      <c r="BE21" s="15"/>
      <c r="BF21" s="15"/>
    </row>
    <row r="22" spans="27:58" ht="15" thickTop="1">
      <c r="AA22" s="15"/>
      <c r="AB22" s="77">
        <f>'Leimikkotiedot ja tulokset'!G16</f>
        <v>1000</v>
      </c>
      <c r="AC22" s="15"/>
      <c r="AD22" s="81">
        <f>-1.63+3838.892*(1/AB22)</f>
        <v>2.208892</v>
      </c>
      <c r="AE22" s="15"/>
      <c r="AF22" s="82">
        <f>'Leimikkotiedot ja tulokset'!I20</f>
        <v>33.344743262352026</v>
      </c>
      <c r="AG22" s="81">
        <f>-18.474655+4.4944438*(AF22)-0.189565*POWER(AF22,2)+0.002995*POWER(AF22,3)</f>
        <v>31.659296327792248</v>
      </c>
      <c r="AH22" s="15"/>
      <c r="AI22" s="83">
        <f>1/3.24</f>
        <v>0.30864197530864196</v>
      </c>
      <c r="AJ22" s="87">
        <f>1/AI22</f>
        <v>3.24</v>
      </c>
      <c r="AK22" s="91">
        <f>(3600/AB22)*AJ22</f>
        <v>11.664000000000001</v>
      </c>
      <c r="AL22" s="15"/>
      <c r="AM22" s="81">
        <f>(AD22+AG22+AK22)*G20</f>
        <v>54.63862599335069</v>
      </c>
      <c r="AN22" s="95">
        <f>(AM22*AB22)/3600</f>
        <v>15.177396109264082</v>
      </c>
      <c r="AO22" s="96">
        <f>(3600/AM22)*'Leimikkotiedot ja tulokset'!AG11</f>
        <v>8.84443171251302</v>
      </c>
      <c r="AP22" s="15"/>
      <c r="AQ22" s="15"/>
      <c r="AR22" s="77"/>
      <c r="AS22" s="84"/>
      <c r="AT22" s="84"/>
      <c r="AV22" s="15"/>
      <c r="AW22" s="84"/>
      <c r="AX22" s="84"/>
      <c r="AY22" s="84"/>
      <c r="AZ22" s="15"/>
      <c r="BA22" s="15"/>
      <c r="BB22" s="15"/>
      <c r="BC22" s="15"/>
      <c r="BD22" s="15"/>
      <c r="BE22" s="15"/>
      <c r="BF22" s="15"/>
    </row>
    <row r="23" spans="27:46" ht="14.25">
      <c r="AA23" s="15"/>
      <c r="AB23" s="77"/>
      <c r="AC23" s="15"/>
      <c r="AD23" s="15"/>
      <c r="AE23" s="15"/>
      <c r="AF23" s="82"/>
      <c r="AG23" s="15"/>
      <c r="AH23" s="15"/>
      <c r="AI23" s="15"/>
      <c r="AJ23" s="15"/>
      <c r="AK23" s="15"/>
      <c r="AL23" s="15"/>
      <c r="AM23" s="81">
        <f>(AD22+AG22)*G20</f>
        <v>40.64182599335069</v>
      </c>
      <c r="AN23" s="100">
        <f>(AM23*AB22)/3600</f>
        <v>11.28939610926408</v>
      </c>
      <c r="AO23" s="114">
        <f>(3600/AM23)*'Leimikkotiedot ja tulokset'!AG11</f>
        <v>11.890400705489759</v>
      </c>
      <c r="AP23" s="15"/>
      <c r="AQ23" s="15"/>
      <c r="AR23" s="77"/>
      <c r="AS23" s="84"/>
      <c r="AT23" s="84"/>
    </row>
    <row r="24" spans="2:46" ht="17.25" thickBot="1">
      <c r="B24" s="113"/>
      <c r="C24" s="13"/>
      <c r="D24" s="194" t="s">
        <v>70</v>
      </c>
      <c r="E24" s="195" t="s">
        <v>71</v>
      </c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77"/>
      <c r="AN24" s="15"/>
      <c r="AO24" s="15"/>
      <c r="AP24" s="15"/>
      <c r="AQ24" s="15"/>
      <c r="AR24" s="77"/>
      <c r="AS24" s="84"/>
      <c r="AT24" s="84"/>
    </row>
    <row r="25" spans="2:5" ht="20.25" thickTop="1">
      <c r="B25" s="47" t="s">
        <v>24</v>
      </c>
      <c r="D25" s="192">
        <f>((G19/AO22)+G21/'Leimikkotiedot ja tulokset'!G35)-'Leimikkotiedot ja tulokset'!I27/'Leimikkotiedot ja tulokset'!I35</f>
        <v>6.878025800946747</v>
      </c>
      <c r="E25" s="193">
        <f>('Leimikkotiedot ja tulokset'!G35/'Leimikkotiedot ja tulokset'!H35)*D25</f>
        <v>3.1722342970547364</v>
      </c>
    </row>
    <row r="26" spans="39:63" s="157" customFormat="1" ht="12.75">
      <c r="AM26" s="183"/>
      <c r="AZ26" s="186"/>
      <c r="BA26" s="187"/>
      <c r="BB26" s="187"/>
      <c r="BC26" s="187"/>
      <c r="BD26" s="187"/>
      <c r="BE26" s="174"/>
      <c r="BF26" s="186"/>
      <c r="BG26" s="187"/>
      <c r="BH26" s="187"/>
      <c r="BI26" s="187"/>
      <c r="BJ26" s="187"/>
      <c r="BK26" s="174"/>
    </row>
    <row r="27" spans="50:66" ht="12.75">
      <c r="AX27" s="93"/>
      <c r="AY27" s="15"/>
      <c r="AZ27" s="15"/>
      <c r="BA27" s="87"/>
      <c r="BB27" s="87"/>
      <c r="BC27" s="87"/>
      <c r="BD27" s="87"/>
      <c r="BE27" s="15"/>
      <c r="BF27" s="15"/>
      <c r="BG27" s="84"/>
      <c r="BH27" s="84"/>
      <c r="BI27" s="84"/>
      <c r="BJ27" s="84"/>
      <c r="BK27" s="15"/>
      <c r="BL27" s="15"/>
      <c r="BM27" s="15"/>
      <c r="BN27" s="15"/>
    </row>
    <row r="28" spans="2:66" ht="20.25">
      <c r="B28" s="41" t="s">
        <v>27</v>
      </c>
      <c r="AY28" s="15"/>
      <c r="AZ28" s="15"/>
      <c r="BA28" s="87"/>
      <c r="BB28" s="87"/>
      <c r="BC28" s="87"/>
      <c r="BD28" s="87"/>
      <c r="BE28" s="15"/>
      <c r="BF28" s="15"/>
      <c r="BG28" s="84"/>
      <c r="BH28" s="84"/>
      <c r="BI28" s="84"/>
      <c r="BJ28" s="84"/>
      <c r="BK28" s="15"/>
      <c r="BL28" s="15"/>
      <c r="BM28" s="15"/>
      <c r="BN28" s="15"/>
    </row>
    <row r="29" spans="2:66" ht="16.5">
      <c r="B29" s="14"/>
      <c r="C29" s="14"/>
      <c r="D29" s="14"/>
      <c r="E29" s="32" t="s">
        <v>9</v>
      </c>
      <c r="F29" s="32" t="s">
        <v>10</v>
      </c>
      <c r="G29" s="33" t="s">
        <v>11</v>
      </c>
      <c r="AY29" s="15"/>
      <c r="AZ29" s="15"/>
      <c r="BA29" s="87"/>
      <c r="BB29" s="87"/>
      <c r="BC29" s="87"/>
      <c r="BD29" s="87"/>
      <c r="BE29" s="15"/>
      <c r="BF29" s="15"/>
      <c r="BG29" s="84"/>
      <c r="BH29" s="84"/>
      <c r="BI29" s="84"/>
      <c r="BJ29" s="84"/>
      <c r="BK29" s="15"/>
      <c r="BL29" s="15"/>
      <c r="BM29" s="15"/>
      <c r="BN29" s="15"/>
    </row>
    <row r="30" spans="2:66" ht="20.25" thickBot="1">
      <c r="B30" s="12" t="s">
        <v>28</v>
      </c>
      <c r="C30" s="12"/>
      <c r="D30" s="12"/>
      <c r="E30" s="158"/>
      <c r="F30" s="154">
        <v>8.6</v>
      </c>
      <c r="G30" s="116">
        <f>IF(COUNTA(D30:E30)=1,E30,F30)</f>
        <v>8.6</v>
      </c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77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87"/>
      <c r="BB30" s="87"/>
      <c r="BC30" s="87"/>
      <c r="BD30" s="87"/>
      <c r="BE30" s="15"/>
      <c r="BF30" s="15"/>
      <c r="BG30" s="84"/>
      <c r="BH30" s="84"/>
      <c r="BI30" s="84"/>
      <c r="BJ30" s="84"/>
      <c r="BK30" s="15"/>
      <c r="BL30" s="15"/>
      <c r="BM30" s="15"/>
      <c r="BN30" s="15"/>
    </row>
    <row r="31" spans="2:66" ht="21" thickBot="1" thickTop="1">
      <c r="B31" s="12" t="s">
        <v>25</v>
      </c>
      <c r="C31" s="12"/>
      <c r="D31" s="12"/>
      <c r="E31" s="163"/>
      <c r="F31" s="153">
        <v>1.2</v>
      </c>
      <c r="G31" s="71">
        <f>IF(COUNTA(D31:E31)=1,E31,F31)</f>
        <v>1.2</v>
      </c>
      <c r="AC31" s="15"/>
      <c r="AD31" s="77"/>
      <c r="AE31" s="77"/>
      <c r="AF31" s="15"/>
      <c r="AG31" s="15"/>
      <c r="AH31" s="15"/>
      <c r="AI31" s="119"/>
      <c r="AJ31" s="15"/>
      <c r="AK31" s="15"/>
      <c r="AL31" s="15"/>
      <c r="AM31" s="119"/>
      <c r="AN31" s="15"/>
      <c r="AO31" s="15"/>
      <c r="AP31" s="15"/>
      <c r="AQ31" s="15"/>
      <c r="AR31" s="120" t="s">
        <v>57</v>
      </c>
      <c r="AS31" s="15"/>
      <c r="AT31" s="15"/>
      <c r="AU31" s="15"/>
      <c r="AV31" s="15"/>
      <c r="AW31" s="15"/>
      <c r="AX31" s="15"/>
      <c r="AY31" s="15"/>
      <c r="AZ31" s="15"/>
      <c r="BA31" s="87"/>
      <c r="BB31" s="87"/>
      <c r="BC31" s="87"/>
      <c r="BD31" s="87"/>
      <c r="BE31" s="15"/>
      <c r="BF31" s="15"/>
      <c r="BG31" s="84"/>
      <c r="BH31" s="84"/>
      <c r="BI31" s="84"/>
      <c r="BJ31" s="84"/>
      <c r="BK31" s="15"/>
      <c r="BL31" s="15"/>
      <c r="BM31" s="15"/>
      <c r="BN31" s="15"/>
    </row>
    <row r="32" spans="2:66" ht="21" thickBot="1" thickTop="1">
      <c r="B32" s="28" t="s">
        <v>29</v>
      </c>
      <c r="C32" s="28"/>
      <c r="D32" s="28"/>
      <c r="E32" s="163"/>
      <c r="F32" s="150">
        <v>60</v>
      </c>
      <c r="G32" s="35">
        <f>IF(COUNTA(D32:E32)=1,E32,F32)</f>
        <v>60</v>
      </c>
      <c r="AC32" s="15"/>
      <c r="AD32" s="121" t="s">
        <v>91</v>
      </c>
      <c r="AE32" s="122"/>
      <c r="AF32" s="121" t="s">
        <v>92</v>
      </c>
      <c r="AG32" s="123"/>
      <c r="AH32" s="123"/>
      <c r="AI32" s="80" t="s">
        <v>58</v>
      </c>
      <c r="AJ32" s="123"/>
      <c r="AK32" s="111" t="s">
        <v>59</v>
      </c>
      <c r="AL32" s="119" t="s">
        <v>60</v>
      </c>
      <c r="AM32" s="122"/>
      <c r="AN32" s="121" t="s">
        <v>61</v>
      </c>
      <c r="AO32" s="123"/>
      <c r="AP32" s="124" t="s">
        <v>62</v>
      </c>
      <c r="AQ32" s="123"/>
      <c r="AR32" s="123"/>
      <c r="AS32" s="111" t="s">
        <v>63</v>
      </c>
      <c r="AT32" s="123"/>
      <c r="AU32" s="80" t="s">
        <v>64</v>
      </c>
      <c r="AV32" s="123"/>
      <c r="AW32" s="80" t="s">
        <v>65</v>
      </c>
      <c r="AX32" s="80" t="s">
        <v>134</v>
      </c>
      <c r="AY32" s="15"/>
      <c r="AZ32" s="15"/>
      <c r="BA32" s="87"/>
      <c r="BB32" s="87"/>
      <c r="BC32" s="87"/>
      <c r="BD32" s="87"/>
      <c r="BE32" s="15"/>
      <c r="BF32" s="15"/>
      <c r="BG32" s="84"/>
      <c r="BH32" s="84"/>
      <c r="BI32" s="84"/>
      <c r="BJ32" s="84"/>
      <c r="BK32" s="15"/>
      <c r="BL32" s="15"/>
      <c r="BM32" s="15"/>
      <c r="BN32" s="15"/>
    </row>
    <row r="33" spans="2:66" ht="21" thickBot="1" thickTop="1">
      <c r="B33" s="28" t="s">
        <v>30</v>
      </c>
      <c r="C33" s="28"/>
      <c r="D33" s="28"/>
      <c r="E33" s="163"/>
      <c r="F33" s="150">
        <v>60</v>
      </c>
      <c r="G33" s="35">
        <f>IF(COUNTA(D33:E33)=1,E33,F33)</f>
        <v>60</v>
      </c>
      <c r="AC33" s="15"/>
      <c r="AD33" s="79"/>
      <c r="AE33" s="79"/>
      <c r="AF33" s="79"/>
      <c r="AG33" s="79"/>
      <c r="AH33" s="15"/>
      <c r="AI33" s="85"/>
      <c r="AJ33" s="85"/>
      <c r="AK33" s="77"/>
      <c r="AL33" s="15"/>
      <c r="AM33" s="77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87"/>
      <c r="BB33" s="87"/>
      <c r="BC33" s="87"/>
      <c r="BD33" s="87"/>
      <c r="BE33" s="15"/>
      <c r="BF33" s="15"/>
      <c r="BG33" s="84"/>
      <c r="BH33" s="84"/>
      <c r="BI33" s="84"/>
      <c r="BJ33" s="84"/>
      <c r="BK33" s="15"/>
      <c r="BL33" s="15"/>
      <c r="BM33" s="15"/>
      <c r="BN33" s="15"/>
    </row>
    <row r="34" spans="29:66" ht="13.5" thickTop="1">
      <c r="AC34" s="15"/>
      <c r="AD34" s="79" t="s">
        <v>66</v>
      </c>
      <c r="AE34" s="79" t="s">
        <v>67</v>
      </c>
      <c r="AF34" s="79" t="s">
        <v>66</v>
      </c>
      <c r="AG34" s="79" t="s">
        <v>67</v>
      </c>
      <c r="AH34" s="15"/>
      <c r="AI34" s="85" t="s">
        <v>68</v>
      </c>
      <c r="AJ34" s="79" t="s">
        <v>69</v>
      </c>
      <c r="AK34" s="77"/>
      <c r="AL34" s="15"/>
      <c r="AM34" s="77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87"/>
      <c r="BB34" s="87"/>
      <c r="BC34" s="87"/>
      <c r="BD34" s="87"/>
      <c r="BE34" s="15"/>
      <c r="BF34" s="15"/>
      <c r="BG34" s="84"/>
      <c r="BH34" s="84"/>
      <c r="BI34" s="84"/>
      <c r="BJ34" s="84"/>
      <c r="BK34" s="15"/>
      <c r="BL34" s="15"/>
      <c r="BM34" s="15"/>
      <c r="BN34" s="15"/>
    </row>
    <row r="35" spans="29:66" ht="12.75">
      <c r="AC35" s="15"/>
      <c r="AD35" s="77">
        <f>'Leimikkotiedot ja tulokset'!G7</f>
        <v>200</v>
      </c>
      <c r="AE35" s="86">
        <f>(14.599+(1.042*AD35))/G30</f>
        <v>25.930116279069768</v>
      </c>
      <c r="AF35" s="77">
        <f>'Leimikkotiedot ja tulokset'!G7</f>
        <v>200</v>
      </c>
      <c r="AG35" s="81">
        <f>(31.354+(1.28*AF35))/G30</f>
        <v>33.41325581395349</v>
      </c>
      <c r="AH35" s="15"/>
      <c r="AI35" s="84">
        <f>'Leimikkotiedot ja tulokset'!AH13/5</f>
        <v>13.423544346214697</v>
      </c>
      <c r="AJ35" s="87">
        <f>0.51+(0.03947*AI35)</f>
        <v>1.039827295345094</v>
      </c>
      <c r="AK35" s="87">
        <f>0.127+0.0101*(AJ35)</f>
        <v>0.13750225568298546</v>
      </c>
      <c r="AL35" s="81">
        <f>451.347-1539.249*(AK35)</f>
        <v>239.69679044222028</v>
      </c>
      <c r="AM35" s="77"/>
      <c r="AN35" s="88">
        <f>1.54+214.224*(1/AI35)+3</f>
        <v>20.498825364957277</v>
      </c>
      <c r="AO35" s="15"/>
      <c r="AP35" s="88">
        <f>243.905-(281.272*SQRT(0.25))+11</f>
        <v>114.269</v>
      </c>
      <c r="AQ35" s="15"/>
      <c r="AR35" s="15"/>
      <c r="AS35" s="88">
        <f>((AE35+AG35+AL35+AN35+AP35)*G31)</f>
        <v>520.569585480241</v>
      </c>
      <c r="AT35" s="15"/>
      <c r="AU35" s="118">
        <f>AS35*G30</f>
        <v>4476.898435130072</v>
      </c>
      <c r="AV35" s="15"/>
      <c r="AW35" s="81">
        <f>G30/(AU35/3600)</f>
        <v>6.915501981697399</v>
      </c>
      <c r="AX35" s="84">
        <f>'Leimikkotiedot ja tulokset'!I35/'Kantojen korjuu'!AW35</f>
        <v>9.511293246756841</v>
      </c>
      <c r="AY35" s="15"/>
      <c r="AZ35" s="15"/>
      <c r="BA35" s="87"/>
      <c r="BB35" s="87"/>
      <c r="BC35" s="87"/>
      <c r="BD35" s="87"/>
      <c r="BE35" s="15"/>
      <c r="BF35" s="15"/>
      <c r="BG35" s="84"/>
      <c r="BH35" s="84"/>
      <c r="BI35" s="84"/>
      <c r="BJ35" s="84"/>
      <c r="BK35" s="15"/>
      <c r="BL35" s="15"/>
      <c r="BM35" s="15"/>
      <c r="BN35" s="15"/>
    </row>
    <row r="36" spans="2:66" ht="17.25" thickBot="1">
      <c r="B36" s="113"/>
      <c r="C36" s="13"/>
      <c r="D36" s="194" t="s">
        <v>70</v>
      </c>
      <c r="E36" s="195" t="s">
        <v>71</v>
      </c>
      <c r="F36" s="44"/>
      <c r="G36" s="44"/>
      <c r="H36" s="5"/>
      <c r="AC36" s="15"/>
      <c r="AD36" s="15"/>
      <c r="AE36" s="15"/>
      <c r="AF36" s="15"/>
      <c r="AG36" s="15"/>
      <c r="AH36" s="15"/>
      <c r="AI36" s="84"/>
      <c r="AJ36" s="15"/>
      <c r="AK36" s="15"/>
      <c r="AL36" s="15"/>
      <c r="AM36" s="77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87"/>
      <c r="BB36" s="87"/>
      <c r="BC36" s="87"/>
      <c r="BD36" s="87"/>
      <c r="BE36" s="15"/>
      <c r="BF36" s="15"/>
      <c r="BG36" s="84"/>
      <c r="BH36" s="84"/>
      <c r="BI36" s="84"/>
      <c r="BJ36" s="84"/>
      <c r="BK36" s="15"/>
      <c r="BL36" s="15"/>
      <c r="BM36" s="15"/>
      <c r="BN36" s="15"/>
    </row>
    <row r="37" spans="2:50" ht="20.25" thickTop="1">
      <c r="B37" s="46" t="s">
        <v>27</v>
      </c>
      <c r="D37" s="192">
        <f>(G32/AW35)+G33/'Leimikkotiedot ja tulokset'!G35</f>
        <v>9.132257553167804</v>
      </c>
      <c r="E37" s="193">
        <f>('Leimikkotiedot ja tulokset'!G35/'Leimikkotiedot ja tulokset'!H35)*D37</f>
        <v>4.211915084079571</v>
      </c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77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</row>
    <row r="38" s="157" customFormat="1" ht="12.75">
      <c r="AM38" s="183"/>
    </row>
    <row r="40" spans="2:35" ht="20.25">
      <c r="B40" s="41" t="s">
        <v>99</v>
      </c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2:35" ht="16.5">
      <c r="B41" s="14"/>
      <c r="C41" s="14"/>
      <c r="D41" s="14"/>
      <c r="E41" s="32" t="s">
        <v>9</v>
      </c>
      <c r="F41" s="32" t="s">
        <v>10</v>
      </c>
      <c r="G41" s="33" t="s">
        <v>11</v>
      </c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2:35" ht="20.25" thickBot="1">
      <c r="B42" s="12" t="s">
        <v>102</v>
      </c>
      <c r="C42" s="12"/>
      <c r="D42" s="13"/>
      <c r="E42" s="163"/>
      <c r="F42" s="150">
        <v>30</v>
      </c>
      <c r="G42" s="35">
        <f>IF(COUNTA(D42:E42)=1,E42,F42)</f>
        <v>30</v>
      </c>
      <c r="Z42" s="15"/>
      <c r="AA42" s="15"/>
      <c r="AB42" s="13"/>
      <c r="AC42" s="13"/>
      <c r="AD42" s="126" t="s">
        <v>72</v>
      </c>
      <c r="AE42" s="127" t="s">
        <v>73</v>
      </c>
      <c r="AF42" s="126" t="s">
        <v>74</v>
      </c>
      <c r="AG42" s="126" t="s">
        <v>75</v>
      </c>
      <c r="AH42" s="15"/>
      <c r="AI42" s="15"/>
    </row>
    <row r="43" spans="2:35" ht="21" thickBot="1" thickTop="1">
      <c r="B43" s="28" t="s">
        <v>32</v>
      </c>
      <c r="C43" s="28"/>
      <c r="D43" s="16"/>
      <c r="E43" s="163"/>
      <c r="F43" s="150">
        <v>51</v>
      </c>
      <c r="G43" s="35">
        <f>IF(COUNTA(D43:E43)=1,E43,F43)</f>
        <v>51</v>
      </c>
      <c r="Z43" s="15"/>
      <c r="AA43" s="15"/>
      <c r="AB43" s="49" t="s">
        <v>105</v>
      </c>
      <c r="AC43" s="49"/>
      <c r="AD43" s="128">
        <f>'Leimikkotiedot ja tulokset'!G9/(5.7917+30.63*LOG('Leimikkotiedot ja tulokset'!G9))</f>
        <v>0.4381905041974623</v>
      </c>
      <c r="AE43" s="129">
        <f>'Leimikkotiedot ja tulokset'!G9/(-0.44591+31.695*LOG('Leimikkotiedot ja tulokset'!G9))</f>
        <v>0.4903134206169055</v>
      </c>
      <c r="AF43" s="130">
        <f>G45</f>
        <v>1.1</v>
      </c>
      <c r="AG43" s="131">
        <f>G46+G47</f>
        <v>0.8</v>
      </c>
      <c r="AH43" s="125"/>
      <c r="AI43" s="15"/>
    </row>
    <row r="44" spans="2:35" ht="21" thickBot="1" thickTop="1">
      <c r="B44" s="28" t="s">
        <v>33</v>
      </c>
      <c r="C44" s="28"/>
      <c r="D44" s="16"/>
      <c r="E44" s="163"/>
      <c r="F44" s="150">
        <v>77</v>
      </c>
      <c r="G44" s="35">
        <f>IF(COUNTA(D44:E44)=1,E44,F44)</f>
        <v>77</v>
      </c>
      <c r="Z44" s="15"/>
      <c r="AA44" s="15"/>
      <c r="AB44" s="14" t="s">
        <v>106</v>
      </c>
      <c r="AC44" s="14"/>
      <c r="AD44" s="132">
        <f>'Leimikkotiedot ja tulokset'!G8/(5.7917+30.63*LOG('Leimikkotiedot ja tulokset'!G8))</f>
        <v>0.8645859356787452</v>
      </c>
      <c r="AE44" s="133">
        <f>'Leimikkotiedot ja tulokset'!G8/(-0.44591+31.695*LOG('Leimikkotiedot ja tulokset'!G8))</f>
        <v>0.9362779649542451</v>
      </c>
      <c r="AF44" s="94">
        <f>G54</f>
        <v>1.1</v>
      </c>
      <c r="AG44" s="94">
        <f>G55+G56</f>
        <v>0.8</v>
      </c>
      <c r="AH44" s="125"/>
      <c r="AI44" s="15"/>
    </row>
    <row r="45" spans="2:35" ht="21" thickBot="1" thickTop="1">
      <c r="B45" s="28" t="s">
        <v>104</v>
      </c>
      <c r="C45" s="28"/>
      <c r="D45" s="16"/>
      <c r="E45" s="163"/>
      <c r="F45" s="153">
        <v>1.1</v>
      </c>
      <c r="G45" s="71">
        <v>1.1</v>
      </c>
      <c r="Z45" s="15"/>
      <c r="AA45" s="15"/>
      <c r="AB45" s="15"/>
      <c r="AC45" s="15"/>
      <c r="AD45" s="87"/>
      <c r="AE45" s="87"/>
      <c r="AF45" s="84"/>
      <c r="AG45" s="84"/>
      <c r="AH45" s="125"/>
      <c r="AI45" s="15"/>
    </row>
    <row r="46" spans="2:35" ht="21" thickBot="1" thickTop="1">
      <c r="B46" s="28" t="s">
        <v>103</v>
      </c>
      <c r="C46" s="28"/>
      <c r="D46" s="16"/>
      <c r="E46" s="163"/>
      <c r="F46" s="153">
        <v>0.5</v>
      </c>
      <c r="G46" s="71">
        <f>IF(COUNTA(D46:E46)=1,E46,F46)</f>
        <v>0.5</v>
      </c>
      <c r="Z46" s="15"/>
      <c r="AA46" s="15"/>
      <c r="AB46" s="15"/>
      <c r="AC46" s="15"/>
      <c r="AD46" s="87"/>
      <c r="AE46" s="87"/>
      <c r="AF46" s="84"/>
      <c r="AG46" s="84"/>
      <c r="AH46" s="15"/>
      <c r="AI46" s="15"/>
    </row>
    <row r="47" spans="2:35" ht="21" thickBot="1" thickTop="1">
      <c r="B47" s="28" t="s">
        <v>34</v>
      </c>
      <c r="C47" s="28"/>
      <c r="D47" s="16"/>
      <c r="E47" s="163"/>
      <c r="F47" s="153">
        <v>0.3</v>
      </c>
      <c r="G47" s="71">
        <f>IF(COUNTA(D47:E47)=1,E47,F47)</f>
        <v>0.3</v>
      </c>
      <c r="J47" s="170" t="s">
        <v>85</v>
      </c>
      <c r="K47" s="171"/>
      <c r="L47" s="171"/>
      <c r="M47" s="171"/>
      <c r="N47" s="171"/>
      <c r="O47" s="172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10:35" ht="20.25" thickTop="1">
      <c r="J48" s="173" t="s">
        <v>86</v>
      </c>
      <c r="K48" s="174"/>
      <c r="L48" s="175" t="s">
        <v>88</v>
      </c>
      <c r="M48" s="174"/>
      <c r="N48" s="176" t="s">
        <v>89</v>
      </c>
      <c r="O48" s="177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2:35" ht="21" thickBot="1">
      <c r="B49" s="41" t="s">
        <v>100</v>
      </c>
      <c r="J49" s="181">
        <v>26</v>
      </c>
      <c r="K49" s="174"/>
      <c r="L49" s="182">
        <v>0.5</v>
      </c>
      <c r="M49" s="175" t="s">
        <v>87</v>
      </c>
      <c r="N49" s="35">
        <f>((J49*1000)*(1-L49))/432</f>
        <v>30.09259259259259</v>
      </c>
      <c r="O49" s="177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2:35" ht="18" thickBot="1" thickTop="1">
      <c r="B50" s="14"/>
      <c r="C50" s="14"/>
      <c r="D50" s="14"/>
      <c r="E50" s="32" t="s">
        <v>9</v>
      </c>
      <c r="F50" s="32" t="s">
        <v>10</v>
      </c>
      <c r="G50" s="33" t="s">
        <v>11</v>
      </c>
      <c r="J50" s="178"/>
      <c r="K50" s="179"/>
      <c r="L50" s="179"/>
      <c r="M50" s="179"/>
      <c r="N50" s="179"/>
      <c r="O50" s="180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2:7" ht="20.25" thickBot="1">
      <c r="B51" s="12" t="s">
        <v>101</v>
      </c>
      <c r="C51" s="12"/>
      <c r="D51" s="13"/>
      <c r="E51" s="163"/>
      <c r="F51" s="150">
        <v>30</v>
      </c>
      <c r="G51" s="66">
        <f aca="true" t="shared" si="0" ref="G51:G56">IF(COUNTA(D51:E51)=1,E51,F51)</f>
        <v>30</v>
      </c>
    </row>
    <row r="52" spans="2:7" ht="21" thickBot="1" thickTop="1">
      <c r="B52" s="28" t="s">
        <v>32</v>
      </c>
      <c r="C52" s="28"/>
      <c r="D52" s="16"/>
      <c r="E52" s="163"/>
      <c r="F52" s="150">
        <v>51</v>
      </c>
      <c r="G52" s="35">
        <f t="shared" si="0"/>
        <v>51</v>
      </c>
    </row>
    <row r="53" spans="2:7" ht="21" thickBot="1" thickTop="1">
      <c r="B53" s="28" t="s">
        <v>33</v>
      </c>
      <c r="C53" s="28"/>
      <c r="D53" s="16"/>
      <c r="E53" s="163"/>
      <c r="F53" s="150">
        <v>77</v>
      </c>
      <c r="G53" s="35">
        <f t="shared" si="0"/>
        <v>77</v>
      </c>
    </row>
    <row r="54" spans="2:7" ht="21" thickBot="1" thickTop="1">
      <c r="B54" s="28" t="s">
        <v>104</v>
      </c>
      <c r="C54" s="28"/>
      <c r="D54" s="16"/>
      <c r="E54" s="163"/>
      <c r="F54" s="153">
        <v>1.1</v>
      </c>
      <c r="G54" s="71">
        <f t="shared" si="0"/>
        <v>1.1</v>
      </c>
    </row>
    <row r="55" spans="2:7" ht="21" thickBot="1" thickTop="1">
      <c r="B55" s="28" t="s">
        <v>103</v>
      </c>
      <c r="C55" s="28"/>
      <c r="D55" s="16"/>
      <c r="E55" s="163"/>
      <c r="F55" s="153">
        <v>0.5</v>
      </c>
      <c r="G55" s="71">
        <f>IF(COUNTA(D55:E55)=1,E55,F55)</f>
        <v>0.5</v>
      </c>
    </row>
    <row r="56" spans="2:7" ht="21" thickBot="1" thickTop="1">
      <c r="B56" s="28" t="s">
        <v>34</v>
      </c>
      <c r="C56" s="28"/>
      <c r="D56" s="16"/>
      <c r="E56" s="163"/>
      <c r="F56" s="153">
        <v>0.3</v>
      </c>
      <c r="G56" s="71">
        <f t="shared" si="0"/>
        <v>0.3</v>
      </c>
    </row>
    <row r="57" spans="2:39" s="19" customFormat="1" ht="15" thickTop="1">
      <c r="B57" s="48"/>
      <c r="C57" s="48"/>
      <c r="E57" s="43"/>
      <c r="F57" s="43"/>
      <c r="G57" s="43"/>
      <c r="AM57" s="76"/>
    </row>
    <row r="59" spans="2:7" ht="17.25" thickBot="1">
      <c r="B59" s="13"/>
      <c r="C59" s="13"/>
      <c r="D59" s="194" t="s">
        <v>22</v>
      </c>
      <c r="E59" s="195" t="s">
        <v>23</v>
      </c>
      <c r="F59" s="44"/>
      <c r="G59" s="44"/>
    </row>
    <row r="60" spans="2:5" ht="20.25" thickTop="1">
      <c r="B60" s="11" t="s">
        <v>107</v>
      </c>
      <c r="C60" s="11"/>
      <c r="D60" s="192">
        <f>(((AD43+AE43)*G44+(AF43+AG43)*G43))/G42</f>
        <v>5.613160073690211</v>
      </c>
      <c r="E60" s="193">
        <f>('Leimikkotiedot ja tulokset'!G35/'Leimikkotiedot ja tulokset'!H35)*D60</f>
        <v>2.5888618937962375</v>
      </c>
    </row>
    <row r="61" spans="2:5" ht="19.5">
      <c r="B61" s="11" t="s">
        <v>108</v>
      </c>
      <c r="C61" s="11"/>
      <c r="D61" s="192">
        <f>((AD44+AE44)*G53+(AF44+AG44)*G52)/G51</f>
        <v>7.852217344958008</v>
      </c>
      <c r="E61" s="193">
        <f>('Leimikkotiedot ja tulokset'!G35/'Leimikkotiedot ja tulokset'!H35)*D61</f>
        <v>3.6215440142977062</v>
      </c>
    </row>
    <row r="62" s="157" customFormat="1" ht="12.75">
      <c r="AM62" s="183"/>
    </row>
    <row r="64" ht="20.25">
      <c r="B64" s="41" t="s">
        <v>112</v>
      </c>
    </row>
    <row r="65" spans="2:7" ht="16.5">
      <c r="B65" s="14"/>
      <c r="C65" s="14"/>
      <c r="D65" s="14"/>
      <c r="E65" s="32" t="s">
        <v>9</v>
      </c>
      <c r="F65" s="32" t="s">
        <v>10</v>
      </c>
      <c r="G65" s="33" t="s">
        <v>11</v>
      </c>
    </row>
    <row r="66" spans="2:7" ht="20.25" thickBot="1">
      <c r="B66" s="12" t="s">
        <v>113</v>
      </c>
      <c r="C66" s="12"/>
      <c r="D66" s="12"/>
      <c r="E66" s="163"/>
      <c r="F66" s="152">
        <v>7</v>
      </c>
      <c r="G66" s="66">
        <f>IF(COUNTA(D66:E66)=1,E66,F66)</f>
        <v>7</v>
      </c>
    </row>
    <row r="67" spans="2:7" ht="21" thickBot="1" thickTop="1">
      <c r="B67" s="12" t="s">
        <v>114</v>
      </c>
      <c r="C67" s="13"/>
      <c r="D67" s="13"/>
      <c r="E67" s="163"/>
      <c r="F67" s="152">
        <v>2</v>
      </c>
      <c r="G67" s="66">
        <f>IF(COUNTA(D67:E67)=1,E67,F67)</f>
        <v>2</v>
      </c>
    </row>
    <row r="68" spans="2:39" s="19" customFormat="1" ht="15" thickTop="1">
      <c r="B68" s="17"/>
      <c r="C68" s="18"/>
      <c r="D68" s="18"/>
      <c r="E68" s="43"/>
      <c r="F68" s="43"/>
      <c r="G68" s="43"/>
      <c r="AM68" s="76"/>
    </row>
    <row r="70" spans="2:25" ht="17.25" thickBot="1">
      <c r="B70" s="113"/>
      <c r="C70" s="13"/>
      <c r="D70" s="194" t="s">
        <v>22</v>
      </c>
      <c r="E70" s="195" t="s">
        <v>23</v>
      </c>
      <c r="F70" s="44"/>
      <c r="G70" s="44"/>
      <c r="H70" s="5"/>
      <c r="I70" s="45"/>
      <c r="Y70" s="15"/>
    </row>
    <row r="71" spans="2:5" ht="20.25" thickTop="1">
      <c r="B71" s="47" t="s">
        <v>115</v>
      </c>
      <c r="D71" s="192">
        <f>G66</f>
        <v>7</v>
      </c>
      <c r="E71" s="193">
        <f>('Leimikkotiedot ja tulokset'!G35/'Leimikkotiedot ja tulokset'!H35)*D71</f>
        <v>3.2284903723865925</v>
      </c>
    </row>
    <row r="72" spans="2:5" ht="19.5">
      <c r="B72" s="11" t="s">
        <v>31</v>
      </c>
      <c r="D72" s="192">
        <f>G67</f>
        <v>2</v>
      </c>
      <c r="E72" s="193">
        <f>('Leimikkotiedot ja tulokset'!G35/'Leimikkotiedot ja tulokset'!H35)*D72</f>
        <v>0.9224258206818836</v>
      </c>
    </row>
    <row r="73" s="157" customFormat="1" ht="12.75">
      <c r="AM73" s="183"/>
    </row>
    <row r="75" spans="1:39" ht="20.25">
      <c r="A75" s="137"/>
      <c r="B75" s="41" t="s">
        <v>123</v>
      </c>
      <c r="C75" s="11"/>
      <c r="D75" s="138"/>
      <c r="E75" s="138"/>
      <c r="F75" s="139"/>
      <c r="G75" s="139"/>
      <c r="W75" s="134"/>
      <c r="X75" s="134"/>
      <c r="Y75" s="135"/>
      <c r="Z75" s="135"/>
      <c r="AM75" s="1"/>
    </row>
    <row r="76" spans="2:39" ht="13.5" customHeight="1">
      <c r="B76" s="41"/>
      <c r="C76" s="11"/>
      <c r="D76" s="67"/>
      <c r="E76" s="67"/>
      <c r="F76" s="69"/>
      <c r="G76" s="69"/>
      <c r="W76" s="134"/>
      <c r="X76" s="134"/>
      <c r="Y76" s="135"/>
      <c r="Z76" s="135"/>
      <c r="AM76" s="1"/>
    </row>
    <row r="77" spans="2:39" ht="17.25" thickBot="1">
      <c r="B77" s="14"/>
      <c r="C77" s="14"/>
      <c r="D77" s="14"/>
      <c r="E77" s="32" t="s">
        <v>9</v>
      </c>
      <c r="F77" s="32" t="s">
        <v>10</v>
      </c>
      <c r="G77" s="33" t="s">
        <v>11</v>
      </c>
      <c r="W77" s="92"/>
      <c r="X77" s="92"/>
      <c r="Y77" s="92"/>
      <c r="Z77" s="51"/>
      <c r="AB77" s="13"/>
      <c r="AC77" s="13"/>
      <c r="AD77" s="126" t="s">
        <v>72</v>
      </c>
      <c r="AE77" s="127" t="s">
        <v>73</v>
      </c>
      <c r="AF77" s="126" t="s">
        <v>74</v>
      </c>
      <c r="AG77" s="126" t="s">
        <v>75</v>
      </c>
      <c r="AM77" s="1"/>
    </row>
    <row r="78" spans="2:39" ht="21" thickBot="1" thickTop="1">
      <c r="B78" s="12" t="s">
        <v>116</v>
      </c>
      <c r="C78" s="12"/>
      <c r="D78" s="13"/>
      <c r="E78" s="158"/>
      <c r="F78" s="152">
        <v>0.9</v>
      </c>
      <c r="G78" s="66">
        <f aca="true" t="shared" si="1" ref="G78:G83">IF(COUNTA(D78:E78)=1,E78,F78)</f>
        <v>0.9</v>
      </c>
      <c r="W78" s="6"/>
      <c r="X78" s="6"/>
      <c r="Y78" s="6"/>
      <c r="AB78" s="49" t="s">
        <v>105</v>
      </c>
      <c r="AC78" s="49"/>
      <c r="AD78" s="128">
        <f>'Leimikkotiedot ja tulokset'!G10/(5.7917+30.63*LOG('Leimikkotiedot ja tulokset'!G10))</f>
        <v>0.27456159377513956</v>
      </c>
      <c r="AE78" s="129">
        <f>'Leimikkotiedot ja tulokset'!G9/(-0.44591+31.695*LOG('Leimikkotiedot ja tulokset'!G9))</f>
        <v>0.4903134206169055</v>
      </c>
      <c r="AF78" s="130">
        <f>(G80/G79)</f>
        <v>0.4</v>
      </c>
      <c r="AG78" s="131">
        <f>G83</f>
        <v>0.6</v>
      </c>
      <c r="AM78" s="1"/>
    </row>
    <row r="79" spans="2:39" ht="21" thickBot="1" thickTop="1">
      <c r="B79" s="28" t="s">
        <v>117</v>
      </c>
      <c r="C79" s="28"/>
      <c r="D79" s="16"/>
      <c r="E79" s="163"/>
      <c r="F79" s="150">
        <v>300</v>
      </c>
      <c r="G79" s="35">
        <f t="shared" si="1"/>
        <v>300</v>
      </c>
      <c r="W79" s="6"/>
      <c r="X79" s="6"/>
      <c r="Y79" s="6"/>
      <c r="AM79" s="1"/>
    </row>
    <row r="80" spans="2:39" ht="21" thickBot="1" thickTop="1">
      <c r="B80" s="12" t="s">
        <v>118</v>
      </c>
      <c r="C80" s="28"/>
      <c r="D80" s="16"/>
      <c r="E80" s="163"/>
      <c r="F80" s="150">
        <v>120</v>
      </c>
      <c r="G80" s="35">
        <f t="shared" si="1"/>
        <v>120</v>
      </c>
      <c r="W80" s="6"/>
      <c r="X80" s="6"/>
      <c r="Y80" s="6"/>
      <c r="AM80" s="1"/>
    </row>
    <row r="81" spans="2:39" ht="21" thickBot="1" thickTop="1">
      <c r="B81" s="28" t="s">
        <v>119</v>
      </c>
      <c r="C81" s="28"/>
      <c r="D81" s="16"/>
      <c r="E81" s="163"/>
      <c r="F81" s="150">
        <v>47</v>
      </c>
      <c r="G81" s="35">
        <f t="shared" si="1"/>
        <v>47</v>
      </c>
      <c r="W81" s="6"/>
      <c r="X81" s="6"/>
      <c r="Y81" s="6"/>
      <c r="AM81" s="1"/>
    </row>
    <row r="82" spans="2:39" ht="21" thickBot="1" thickTop="1">
      <c r="B82" s="28" t="s">
        <v>120</v>
      </c>
      <c r="C82" s="28"/>
      <c r="D82" s="16"/>
      <c r="E82" s="163"/>
      <c r="F82" s="150">
        <v>72</v>
      </c>
      <c r="G82" s="35">
        <f t="shared" si="1"/>
        <v>72</v>
      </c>
      <c r="W82" s="6"/>
      <c r="X82" s="6"/>
      <c r="Y82" s="6"/>
      <c r="AM82" s="1"/>
    </row>
    <row r="83" spans="2:39" ht="21" thickBot="1" thickTop="1">
      <c r="B83" s="28" t="s">
        <v>124</v>
      </c>
      <c r="C83" s="28"/>
      <c r="D83" s="16"/>
      <c r="E83" s="169"/>
      <c r="F83" s="152">
        <v>0.6</v>
      </c>
      <c r="G83" s="66">
        <f t="shared" si="1"/>
        <v>0.6</v>
      </c>
      <c r="W83" s="6"/>
      <c r="X83" s="6"/>
      <c r="Y83" s="6"/>
      <c r="AM83" s="1"/>
    </row>
    <row r="84" spans="2:39" ht="20.25" thickTop="1">
      <c r="B84" s="72"/>
      <c r="C84" s="72"/>
      <c r="D84" s="15"/>
      <c r="E84" s="136"/>
      <c r="F84" s="73"/>
      <c r="G84" s="73"/>
      <c r="W84" s="6"/>
      <c r="X84" s="6"/>
      <c r="Y84" s="6"/>
      <c r="AM84" s="1"/>
    </row>
    <row r="85" spans="1:39" ht="20.25" thickBot="1">
      <c r="A85" s="15"/>
      <c r="B85" s="12"/>
      <c r="C85" s="12"/>
      <c r="D85" s="194" t="s">
        <v>22</v>
      </c>
      <c r="E85" s="195" t="s">
        <v>23</v>
      </c>
      <c r="F85" s="141"/>
      <c r="G85" s="140"/>
      <c r="H85" s="141"/>
      <c r="I85" s="15"/>
      <c r="J85" s="15"/>
      <c r="K85" s="15"/>
      <c r="L85" s="15"/>
      <c r="W85" s="6"/>
      <c r="X85" s="6"/>
      <c r="Y85" s="6"/>
      <c r="AM85" s="1"/>
    </row>
    <row r="86" spans="1:39" ht="20.25" thickTop="1">
      <c r="A86" s="15"/>
      <c r="B86" s="72" t="s">
        <v>121</v>
      </c>
      <c r="C86" s="72"/>
      <c r="D86" s="192">
        <f>G78</f>
        <v>0.9</v>
      </c>
      <c r="E86" s="193">
        <f>('Leimikkotiedot ja tulokset'!G35/'Leimikkotiedot ja tulokset'!H35)*D86</f>
        <v>0.4150916193068476</v>
      </c>
      <c r="F86" s="143"/>
      <c r="G86" s="142"/>
      <c r="H86" s="143"/>
      <c r="I86" s="15"/>
      <c r="J86" s="15"/>
      <c r="K86" s="15"/>
      <c r="L86" s="15"/>
      <c r="W86" s="6"/>
      <c r="X86" s="6"/>
      <c r="Y86" s="6"/>
      <c r="AM86" s="1"/>
    </row>
    <row r="87" spans="1:39" ht="19.5">
      <c r="A87" s="15"/>
      <c r="B87" s="72" t="s">
        <v>122</v>
      </c>
      <c r="C87" s="72"/>
      <c r="D87" s="192">
        <f>(((AD78+AE78)*G82+(AF78+AG78)*G81))/(G80/2.5)</f>
        <v>2.1264791882547343</v>
      </c>
      <c r="E87" s="193">
        <f>('Leimikkotiedot ja tulokset'!G35/'Leimikkotiedot ja tulokset'!H35)*D87</f>
        <v>0.9807596551944094</v>
      </c>
      <c r="F87" s="143"/>
      <c r="G87" s="142"/>
      <c r="H87" s="143"/>
      <c r="I87" s="15"/>
      <c r="J87" s="15"/>
      <c r="K87" s="15"/>
      <c r="L87" s="15"/>
      <c r="W87" s="6"/>
      <c r="X87" s="6"/>
      <c r="Y87" s="6"/>
      <c r="AM87" s="1"/>
    </row>
    <row r="88" spans="1:25" s="157" customFormat="1" ht="12.75" customHeight="1">
      <c r="A88" s="174"/>
      <c r="B88" s="176"/>
      <c r="C88" s="176"/>
      <c r="D88" s="188"/>
      <c r="E88" s="189"/>
      <c r="F88" s="190"/>
      <c r="G88" s="191"/>
      <c r="H88" s="174"/>
      <c r="I88" s="174"/>
      <c r="J88" s="174"/>
      <c r="K88" s="174"/>
      <c r="L88" s="174"/>
      <c r="W88" s="183"/>
      <c r="X88" s="183"/>
      <c r="Y88" s="183"/>
    </row>
    <row r="90" ht="20.25">
      <c r="B90" s="41" t="s">
        <v>35</v>
      </c>
    </row>
    <row r="91" spans="2:39" s="19" customFormat="1" ht="12.75">
      <c r="B91" s="48"/>
      <c r="AM91" s="76"/>
    </row>
    <row r="92" spans="2:39" s="19" customFormat="1" ht="17.25" thickBot="1">
      <c r="B92" s="196"/>
      <c r="C92" s="196"/>
      <c r="D92" s="194" t="s">
        <v>22</v>
      </c>
      <c r="E92" s="195" t="s">
        <v>23</v>
      </c>
      <c r="F92" s="50"/>
      <c r="G92" s="50"/>
      <c r="AM92" s="76"/>
    </row>
    <row r="93" spans="2:5" ht="21" thickBot="1" thickTop="1">
      <c r="B93" s="12" t="s">
        <v>126</v>
      </c>
      <c r="C93" s="13"/>
      <c r="D93" s="197">
        <f>D13+D25+D37+D60+D71+D86+D87+AG8-('Leimikkotiedot ja tulokset'!I27/'Leimikkotiedot ja tulokset'!I35)</f>
        <v>35.2840948652444</v>
      </c>
      <c r="E93" s="198">
        <f>('Leimikkotiedot ja tulokset'!G35/'Leimikkotiedot ja tulokset'!H35)*D93</f>
        <v>16.27348008154525</v>
      </c>
    </row>
    <row r="94" spans="2:5" ht="21" thickBot="1" thickTop="1">
      <c r="B94" s="28" t="s">
        <v>125</v>
      </c>
      <c r="C94" s="16"/>
      <c r="D94" s="199">
        <f>D13+D25+D37+D61+D72+AG8-('Leimikkotiedot ja tulokset'!I27/'Leimikkotiedot ja tulokset'!I35)</f>
        <v>29.49667294825746</v>
      </c>
      <c r="E94" s="198">
        <f>('Leimikkotiedot ja tulokset'!G35/'Leimikkotiedot ja tulokset'!H35)*D94</f>
        <v>13.60424637584075</v>
      </c>
    </row>
    <row r="95" ht="13.5" thickTop="1"/>
    <row r="96" s="157" customFormat="1" ht="12.75">
      <c r="AM96" s="183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laitila</dc:creator>
  <cp:keywords/>
  <dc:description/>
  <cp:lastModifiedBy>Jari Aalto</cp:lastModifiedBy>
  <dcterms:created xsi:type="dcterms:W3CDTF">2004-03-16T10:32:27Z</dcterms:created>
  <dcterms:modified xsi:type="dcterms:W3CDTF">2014-03-27T10:36:12Z</dcterms:modified>
  <cp:category/>
  <cp:version/>
  <cp:contentType/>
  <cp:contentStatus/>
</cp:coreProperties>
</file>