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2.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charts/chart2.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3.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harts/chart4.xml" ContentType="application/vnd.openxmlformats-officedocument.drawingml.chart+xml"/>
  <Override PartName="/xl/drawings/drawing9.xml" ContentType="application/vnd.openxmlformats-officedocument.drawingml.chartshapes+xml"/>
  <Override PartName="/xl/drawings/drawing10.xml" ContentType="application/vnd.openxmlformats-officedocument.drawing+xml"/>
  <Override PartName="/xl/charts/chart5.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ml.chartshap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codeName="ThisWorkbook" defaultThemeVersion="124226"/>
  <mc:AlternateContent xmlns:mc="http://schemas.openxmlformats.org/markup-compatibility/2006">
    <mc:Choice Requires="x15">
      <x15ac:absPath xmlns:x15ac="http://schemas.microsoft.com/office/spreadsheetml/2010/11/ac" url="C:\Users\aalto\Downloads\"/>
    </mc:Choice>
  </mc:AlternateContent>
  <xr:revisionPtr revIDLastSave="0" documentId="8_{F01B840E-0E20-439E-B20C-5FFEFB5E358F}" xr6:coauthVersionLast="47" xr6:coauthVersionMax="47" xr10:uidLastSave="{00000000-0000-0000-0000-000000000000}"/>
  <bookViews>
    <workbookView xWindow="-110" yWindow="-110" windowWidth="25820" windowHeight="15500" tabRatio="504" activeTab="1" xr2:uid="{00000000-000D-0000-FFFF-FFFF00000000}"/>
  </bookViews>
  <sheets>
    <sheet name="Ilmanvaihto" sheetId="30" r:id="rId1"/>
    <sheet name="PILP-laskin" sheetId="16" r:id="rId2"/>
    <sheet name="Kuva 1" sheetId="26" r:id="rId3"/>
    <sheet name="Kuva 2" sheetId="32" r:id="rId4"/>
    <sheet name="Kuva 3a" sheetId="28" r:id="rId5"/>
    <sheet name="Kuva 3b" sheetId="36" r:id="rId6"/>
    <sheet name="Kuva 4" sheetId="29" r:id="rId7"/>
    <sheet name="Kuva 5" sheetId="34" r:id="rId8"/>
    <sheet name="Hki-2012" sheetId="17" state="hidden" r:id="rId9"/>
  </sheets>
  <definedNames>
    <definedName name="Laskin">'PILP-laskin'!$A$12:$E$67</definedName>
    <definedName name="Taulu">'Hki-2012'!$K$107:$Q$133</definedName>
    <definedName name="Tulokset">'Hki-2012'!$A$82:$Q$128</definedName>
    <definedName name="_xlnm.Print_Area" localSheetId="8">'Hki-2012'!$A$1</definedName>
    <definedName name="_xlnm.Print_Area" localSheetId="0">Ilmanvaihto!$A$1:$M$122</definedName>
    <definedName name="_xlnm.Print_Area" localSheetId="1">'PILP-laskin'!$A$1:$E$67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16" l="1"/>
  <c r="I24" i="16"/>
  <c r="MP17" i="17" l="1"/>
  <c r="KN17" i="17"/>
  <c r="IL17" i="17"/>
  <c r="MO17" i="17" l="1"/>
  <c r="KM17" i="17"/>
  <c r="IK17" i="17"/>
  <c r="MR17" i="17" l="1"/>
  <c r="NB17" i="17" s="1"/>
  <c r="KP17" i="17"/>
  <c r="X18" i="17" l="1"/>
  <c r="NL16" i="17" l="1"/>
  <c r="LK16" i="17"/>
  <c r="NA16" i="17"/>
  <c r="NB16" i="17" s="1"/>
  <c r="KZ16" i="17"/>
  <c r="LA16" i="17" s="1"/>
  <c r="IX16" i="17" l="1"/>
  <c r="X19" i="17"/>
  <c r="HG15" i="17"/>
  <c r="HG16" i="17"/>
  <c r="GO19" i="17"/>
  <c r="GV16" i="17"/>
  <c r="MM17" i="17" l="1"/>
  <c r="MN18" i="17"/>
  <c r="MM18" i="17"/>
  <c r="LZ19" i="17"/>
  <c r="LY21" i="17" l="1"/>
  <c r="JW21" i="17"/>
  <c r="HU21" i="17"/>
  <c r="FT21" i="17"/>
  <c r="GA14" i="17"/>
  <c r="GA15" i="17"/>
  <c r="KQ19" i="17" l="1"/>
  <c r="KQ18" i="17"/>
  <c r="GN16" i="17"/>
  <c r="NC16" i="17"/>
  <c r="LB16" i="17"/>
  <c r="IZ16" i="17"/>
  <c r="GX17" i="17"/>
  <c r="A79" i="17"/>
  <c r="CN19" i="17"/>
  <c r="A81" i="17"/>
  <c r="A80" i="17" l="1"/>
  <c r="HG22" i="17"/>
  <c r="LK22" i="17"/>
  <c r="LO22" i="17" s="1"/>
  <c r="NL22" i="17"/>
  <c r="NP22" i="17" s="1"/>
  <c r="NA22" i="17"/>
  <c r="KZ22" i="17"/>
  <c r="LN22" i="17" s="1"/>
  <c r="GV22" i="17"/>
  <c r="C21" i="17" l="1"/>
  <c r="II17" i="17"/>
  <c r="C19" i="17"/>
  <c r="GV19" i="17" l="1"/>
  <c r="IX19" i="17"/>
  <c r="NA19" i="17"/>
  <c r="KZ19" i="17"/>
  <c r="Y17" i="17" l="1"/>
  <c r="X17" i="17" s="1"/>
  <c r="BQ19" i="17" l="1"/>
  <c r="BP19" i="17"/>
  <c r="BO19" i="17"/>
  <c r="NW19" i="17"/>
  <c r="NV19" i="17"/>
  <c r="NU19" i="17"/>
  <c r="NT19" i="17"/>
  <c r="NS19" i="17"/>
  <c r="NR19" i="17"/>
  <c r="NQ19" i="17"/>
  <c r="NP19" i="17"/>
  <c r="NO19" i="17"/>
  <c r="NN19" i="17"/>
  <c r="NM19" i="17"/>
  <c r="NL19" i="17"/>
  <c r="NK19" i="17"/>
  <c r="NJ19" i="17"/>
  <c r="NI19" i="17"/>
  <c r="LV19" i="17"/>
  <c r="LU19" i="17"/>
  <c r="LT19" i="17"/>
  <c r="LS19" i="17"/>
  <c r="LR19" i="17"/>
  <c r="LQ19" i="17"/>
  <c r="LP19" i="17"/>
  <c r="LO19" i="17"/>
  <c r="LN19" i="17"/>
  <c r="LM19" i="17"/>
  <c r="LL19" i="17"/>
  <c r="LK19" i="17"/>
  <c r="LJ19" i="17"/>
  <c r="LI19" i="17"/>
  <c r="LH19" i="17"/>
  <c r="JT19" i="17"/>
  <c r="JS19" i="17"/>
  <c r="JR19" i="17"/>
  <c r="JQ19" i="17"/>
  <c r="JP19" i="17"/>
  <c r="JO19" i="17"/>
  <c r="JN19" i="17"/>
  <c r="JM19" i="17"/>
  <c r="JL19" i="17"/>
  <c r="JK19" i="17"/>
  <c r="JJ19" i="17"/>
  <c r="JI19" i="17"/>
  <c r="JH19" i="17"/>
  <c r="JG19" i="17"/>
  <c r="JF19" i="17"/>
  <c r="HR19" i="17"/>
  <c r="HQ19" i="17"/>
  <c r="HP19" i="17"/>
  <c r="HO19" i="17"/>
  <c r="HN19" i="17"/>
  <c r="HM19" i="17"/>
  <c r="HL19" i="17"/>
  <c r="HK19" i="17"/>
  <c r="HJ19" i="17"/>
  <c r="HI19" i="17"/>
  <c r="HH19" i="17"/>
  <c r="HG19" i="17"/>
  <c r="HF19" i="17"/>
  <c r="HE19" i="17"/>
  <c r="HD19" i="17"/>
  <c r="FT5" i="17"/>
  <c r="G58" i="17"/>
  <c r="G59" i="17"/>
  <c r="G60" i="17"/>
  <c r="G61" i="17"/>
  <c r="G62" i="17"/>
  <c r="G63" i="17"/>
  <c r="G64" i="17"/>
  <c r="G65" i="17"/>
  <c r="G66" i="17"/>
  <c r="G67" i="17"/>
  <c r="G68" i="17"/>
  <c r="G69" i="17"/>
  <c r="G70" i="17"/>
  <c r="G71" i="17"/>
  <c r="G72" i="17"/>
  <c r="G73" i="17"/>
  <c r="G74" i="17"/>
  <c r="J21" i="17" l="1"/>
  <c r="IZ22" i="17" l="1"/>
  <c r="JB22" i="17" s="1"/>
  <c r="Q18" i="17" l="1"/>
  <c r="GN21" i="17"/>
  <c r="BX16" i="17"/>
  <c r="LY22" i="17"/>
  <c r="MI21" i="17"/>
  <c r="MR21" i="17" s="1"/>
  <c r="LZ21" i="17"/>
  <c r="LZ24" i="17" s="1"/>
  <c r="LY24" i="17"/>
  <c r="JW22" i="17"/>
  <c r="KG21" i="17"/>
  <c r="JX21" i="17"/>
  <c r="KK17" i="17"/>
  <c r="HU22" i="17"/>
  <c r="IE21" i="17"/>
  <c r="HV21" i="17"/>
  <c r="JX24" i="17" s="1"/>
  <c r="HU24" i="17"/>
  <c r="HZ24" i="17" s="1"/>
  <c r="GD21" i="17"/>
  <c r="GH17" i="17"/>
  <c r="IM17" i="17" l="1"/>
  <c r="MQ17" i="17"/>
  <c r="GL17" i="17"/>
  <c r="KO17" i="17"/>
  <c r="KQ21" i="17"/>
  <c r="IO21" i="17"/>
  <c r="GM21" i="17"/>
  <c r="LY25" i="17"/>
  <c r="MD24" i="17"/>
  <c r="HV24" i="17"/>
  <c r="HV25" i="17" s="1"/>
  <c r="HV26" i="17" s="1"/>
  <c r="HV27" i="17" s="1"/>
  <c r="HV28" i="17" s="1"/>
  <c r="HV29" i="17" s="1"/>
  <c r="HV30" i="17" s="1"/>
  <c r="HV31" i="17" s="1"/>
  <c r="HV32" i="17" s="1"/>
  <c r="HV33" i="17" s="1"/>
  <c r="HV34" i="17" s="1"/>
  <c r="HV35" i="17" s="1"/>
  <c r="HV36" i="17" s="1"/>
  <c r="HV37" i="17" s="1"/>
  <c r="HV38" i="17" s="1"/>
  <c r="HV39" i="17" s="1"/>
  <c r="HV40" i="17" s="1"/>
  <c r="HV41" i="17" s="1"/>
  <c r="HV42" i="17" s="1"/>
  <c r="HV43" i="17" s="1"/>
  <c r="HV44" i="17" s="1"/>
  <c r="HV45" i="17" s="1"/>
  <c r="HV46" i="17" s="1"/>
  <c r="HV47" i="17" s="1"/>
  <c r="HV48" i="17" s="1"/>
  <c r="HV49" i="17" s="1"/>
  <c r="HV50" i="17" s="1"/>
  <c r="HV51" i="17" s="1"/>
  <c r="HV52" i="17" s="1"/>
  <c r="HV53" i="17" s="1"/>
  <c r="HV54" i="17" s="1"/>
  <c r="HV55" i="17" s="1"/>
  <c r="HV56" i="17" s="1"/>
  <c r="HV57" i="17" s="1"/>
  <c r="HV58" i="17" s="1"/>
  <c r="HV59" i="17" s="1"/>
  <c r="HV60" i="17" s="1"/>
  <c r="HV61" i="17" s="1"/>
  <c r="HV62" i="17" s="1"/>
  <c r="HV63" i="17" s="1"/>
  <c r="HV64" i="17" s="1"/>
  <c r="HV65" i="17" s="1"/>
  <c r="HV66" i="17" s="1"/>
  <c r="MA24" i="17"/>
  <c r="LZ25" i="17"/>
  <c r="MB24" i="17"/>
  <c r="JW24" i="17"/>
  <c r="JX25" i="17"/>
  <c r="HU25" i="17"/>
  <c r="KZ15" i="17" l="1"/>
  <c r="KZ17" i="17"/>
  <c r="LA17" i="17" s="1"/>
  <c r="GJ18" i="17"/>
  <c r="HM17" i="17"/>
  <c r="HX24" i="17"/>
  <c r="LQ22" i="17"/>
  <c r="HM22" i="17"/>
  <c r="NR22" i="17"/>
  <c r="IP21" i="17"/>
  <c r="IQ21" i="17" s="1"/>
  <c r="HW24" i="17"/>
  <c r="MB25" i="17"/>
  <c r="HV67" i="17"/>
  <c r="LY26" i="17"/>
  <c r="MD25" i="17"/>
  <c r="JZ24" i="17"/>
  <c r="KB24" i="17"/>
  <c r="HU26" i="17"/>
  <c r="HZ26" i="17" s="1"/>
  <c r="HZ25" i="17"/>
  <c r="HW25" i="17"/>
  <c r="LZ26" i="17"/>
  <c r="MA25" i="17"/>
  <c r="JY24" i="17"/>
  <c r="JW25" i="17"/>
  <c r="JX26" i="17"/>
  <c r="HX25" i="17"/>
  <c r="FT24" i="17"/>
  <c r="FU21" i="17"/>
  <c r="FU24" i="17" s="1"/>
  <c r="HV68" i="17" l="1"/>
  <c r="JZ25" i="17"/>
  <c r="KB25" i="17"/>
  <c r="LY27" i="17"/>
  <c r="MD26" i="17"/>
  <c r="HU27" i="17"/>
  <c r="HZ27" i="17" s="1"/>
  <c r="FY24" i="17"/>
  <c r="FW24" i="17"/>
  <c r="HX26" i="17"/>
  <c r="HW26" i="17"/>
  <c r="JY25" i="17"/>
  <c r="JW26" i="17"/>
  <c r="JZ26" i="17" s="1"/>
  <c r="LZ27" i="17"/>
  <c r="MA26" i="17"/>
  <c r="MB26" i="17"/>
  <c r="JX27" i="17"/>
  <c r="FU25" i="17"/>
  <c r="FV24" i="17"/>
  <c r="FT25" i="17"/>
  <c r="FY25" i="17" s="1"/>
  <c r="CC10" i="17"/>
  <c r="CB10" i="17"/>
  <c r="CB11" i="17" l="1"/>
  <c r="HV69" i="17"/>
  <c r="HX27" i="17"/>
  <c r="HW27" i="17"/>
  <c r="JY26" i="17"/>
  <c r="KB26" i="17"/>
  <c r="LY28" i="17"/>
  <c r="MD27" i="17"/>
  <c r="HU28" i="17"/>
  <c r="HZ28" i="17" s="1"/>
  <c r="JW27" i="17"/>
  <c r="KB27" i="17" s="1"/>
  <c r="LZ28" i="17"/>
  <c r="MA27" i="17"/>
  <c r="MB27" i="17"/>
  <c r="JX28" i="17"/>
  <c r="FW25" i="17"/>
  <c r="FT26" i="17"/>
  <c r="FY26" i="17" s="1"/>
  <c r="FU26" i="17"/>
  <c r="FV25" i="17"/>
  <c r="CC11" i="17"/>
  <c r="C27" i="16"/>
  <c r="HV70" i="17" l="1"/>
  <c r="HU29" i="17"/>
  <c r="HZ29" i="17" s="1"/>
  <c r="HW28" i="17"/>
  <c r="JZ27" i="17"/>
  <c r="HX28" i="17"/>
  <c r="JW28" i="17"/>
  <c r="KB28" i="17" s="1"/>
  <c r="MD28" i="17"/>
  <c r="LY29" i="17"/>
  <c r="JY27" i="17"/>
  <c r="LZ29" i="17"/>
  <c r="MA28" i="17"/>
  <c r="MB28" i="17"/>
  <c r="JX29" i="17"/>
  <c r="FU27" i="17"/>
  <c r="FV26" i="17"/>
  <c r="FW26" i="17"/>
  <c r="FT27" i="17"/>
  <c r="FY27" i="17" s="1"/>
  <c r="G82" i="17"/>
  <c r="CB12" i="17"/>
  <c r="CL24" i="17"/>
  <c r="I19" i="16"/>
  <c r="HX29" i="17" l="1"/>
  <c r="HV71" i="17"/>
  <c r="JW29" i="17"/>
  <c r="KB29" i="17" s="1"/>
  <c r="HW29" i="17"/>
  <c r="HU30" i="17"/>
  <c r="HZ30" i="17" s="1"/>
  <c r="JZ28" i="17"/>
  <c r="JY28" i="17"/>
  <c r="MD29" i="17"/>
  <c r="LY30" i="17"/>
  <c r="MA29" i="17"/>
  <c r="LZ30" i="17"/>
  <c r="MB29" i="17"/>
  <c r="JX30" i="17"/>
  <c r="FU28" i="17"/>
  <c r="FV27" i="17"/>
  <c r="FW27" i="17"/>
  <c r="FT28" i="17"/>
  <c r="FY28" i="17" s="1"/>
  <c r="I26" i="16"/>
  <c r="I20" i="16"/>
  <c r="I21" i="16"/>
  <c r="I47" i="16"/>
  <c r="I42" i="16"/>
  <c r="I43" i="16" s="1"/>
  <c r="I34" i="16"/>
  <c r="I36" i="16"/>
  <c r="I32" i="16"/>
  <c r="I30" i="16"/>
  <c r="JZ29" i="17" l="1"/>
  <c r="HW30" i="17"/>
  <c r="JW30" i="17"/>
  <c r="KB30" i="17" s="1"/>
  <c r="HV72" i="17"/>
  <c r="HU31" i="17"/>
  <c r="HZ31" i="17" s="1"/>
  <c r="HX30" i="17"/>
  <c r="JY29" i="17"/>
  <c r="MD30" i="17"/>
  <c r="LY31" i="17"/>
  <c r="LZ31" i="17"/>
  <c r="MA30" i="17"/>
  <c r="MB30" i="17"/>
  <c r="JX31" i="17"/>
  <c r="FU29" i="17"/>
  <c r="FV28" i="17"/>
  <c r="FW28" i="17"/>
  <c r="FT29" i="17"/>
  <c r="FY29" i="17" s="1"/>
  <c r="AN21" i="17"/>
  <c r="HW31" i="17" l="1"/>
  <c r="JY30" i="17"/>
  <c r="JW31" i="17"/>
  <c r="KB31" i="17" s="1"/>
  <c r="HU32" i="17"/>
  <c r="HZ32" i="17" s="1"/>
  <c r="JZ30" i="17"/>
  <c r="HV73" i="17"/>
  <c r="HX31" i="17"/>
  <c r="MD31" i="17"/>
  <c r="LY32" i="17"/>
  <c r="LZ32" i="17"/>
  <c r="MA31" i="17"/>
  <c r="MB31" i="17"/>
  <c r="JX32" i="17"/>
  <c r="FU30" i="17"/>
  <c r="FV29" i="17"/>
  <c r="FW29" i="17"/>
  <c r="FT30" i="17"/>
  <c r="FY30" i="17" s="1"/>
  <c r="CD20" i="17"/>
  <c r="JW32" i="17" l="1"/>
  <c r="KB32" i="17" s="1"/>
  <c r="JZ31" i="17"/>
  <c r="JY31" i="17"/>
  <c r="HW32" i="17"/>
  <c r="HU33" i="17"/>
  <c r="HZ33" i="17" s="1"/>
  <c r="HX32" i="17"/>
  <c r="HV74" i="17"/>
  <c r="MD32" i="17"/>
  <c r="LY33" i="17"/>
  <c r="MA32" i="17"/>
  <c r="LZ33" i="17"/>
  <c r="MB32" i="17"/>
  <c r="JZ32" i="17"/>
  <c r="JX33" i="17"/>
  <c r="FU31" i="17"/>
  <c r="FV30" i="17"/>
  <c r="FW30" i="17"/>
  <c r="FT31" i="17"/>
  <c r="FY31" i="17" s="1"/>
  <c r="JY32" i="17" l="1"/>
  <c r="JW33" i="17"/>
  <c r="KB33" i="17" s="1"/>
  <c r="HW33" i="17"/>
  <c r="HU34" i="17"/>
  <c r="HZ34" i="17" s="1"/>
  <c r="HX33" i="17"/>
  <c r="MD33" i="17"/>
  <c r="LY34" i="17"/>
  <c r="LZ34" i="17"/>
  <c r="MA33" i="17"/>
  <c r="MB33" i="17"/>
  <c r="JX34" i="17"/>
  <c r="FU32" i="17"/>
  <c r="FV31" i="17"/>
  <c r="FW31" i="17"/>
  <c r="FT32" i="17"/>
  <c r="FY32" i="17" s="1"/>
  <c r="BV14" i="17"/>
  <c r="BV13" i="17"/>
  <c r="JY33" i="17" l="1"/>
  <c r="JW34" i="17"/>
  <c r="KB34" i="17" s="1"/>
  <c r="JZ33" i="17"/>
  <c r="BV12" i="17"/>
  <c r="BO14" i="17" s="1"/>
  <c r="HW34" i="17"/>
  <c r="HU35" i="17"/>
  <c r="HZ35" i="17" s="1"/>
  <c r="HX34" i="17"/>
  <c r="MD34" i="17"/>
  <c r="LY35" i="17"/>
  <c r="LZ35" i="17"/>
  <c r="MA34" i="17"/>
  <c r="MB34" i="17"/>
  <c r="JX35" i="17"/>
  <c r="FU33" i="17"/>
  <c r="FV32" i="17"/>
  <c r="FW32" i="17"/>
  <c r="FT33" i="17"/>
  <c r="FY33" i="17" s="1"/>
  <c r="JZ34" i="17" l="1"/>
  <c r="JY34" i="17"/>
  <c r="JW35" i="17"/>
  <c r="KB35" i="17" s="1"/>
  <c r="HX35" i="17"/>
  <c r="BO6" i="17"/>
  <c r="E59" i="16"/>
  <c r="KT14" i="17"/>
  <c r="GP14" i="17"/>
  <c r="MU14" i="17"/>
  <c r="BO5" i="17"/>
  <c r="IR14" i="17"/>
  <c r="HW35" i="17"/>
  <c r="HU36" i="17"/>
  <c r="HZ36" i="17" s="1"/>
  <c r="MD35" i="17"/>
  <c r="LY36" i="17"/>
  <c r="LZ36" i="17"/>
  <c r="MA35" i="17"/>
  <c r="MB35" i="17"/>
  <c r="JX36" i="17"/>
  <c r="FU34" i="17"/>
  <c r="FV33" i="17"/>
  <c r="FW33" i="17"/>
  <c r="FT34" i="17"/>
  <c r="FY34" i="17" s="1"/>
  <c r="AM21" i="17"/>
  <c r="AL21" i="17"/>
  <c r="JZ35" i="17" l="1"/>
  <c r="JW36" i="17"/>
  <c r="KB36" i="17" s="1"/>
  <c r="JY35" i="17"/>
  <c r="HW36" i="17"/>
  <c r="HU37" i="17"/>
  <c r="HZ37" i="17" s="1"/>
  <c r="HX36" i="17"/>
  <c r="MD36" i="17"/>
  <c r="LY37" i="17"/>
  <c r="LZ37" i="17"/>
  <c r="MA36" i="17"/>
  <c r="MB36" i="17"/>
  <c r="JX37" i="17"/>
  <c r="FU35" i="17"/>
  <c r="FV34" i="17"/>
  <c r="FW34" i="17"/>
  <c r="FT35" i="17"/>
  <c r="FY35" i="17" s="1"/>
  <c r="HW37" i="17" l="1"/>
  <c r="JW37" i="17"/>
  <c r="KB37" i="17" s="1"/>
  <c r="JY36" i="17"/>
  <c r="JZ36" i="17"/>
  <c r="HU38" i="17"/>
  <c r="HZ38" i="17" s="1"/>
  <c r="HX37" i="17"/>
  <c r="MD37" i="17"/>
  <c r="LY38" i="17"/>
  <c r="LZ38" i="17"/>
  <c r="MA37" i="17"/>
  <c r="MB37" i="17"/>
  <c r="JX38" i="17"/>
  <c r="FU36" i="17"/>
  <c r="FV35" i="17"/>
  <c r="FW35" i="17"/>
  <c r="FT36" i="17"/>
  <c r="FY36" i="17" s="1"/>
  <c r="JZ37" i="17" l="1"/>
  <c r="JY37" i="17"/>
  <c r="JW38" i="17"/>
  <c r="KB38" i="17" s="1"/>
  <c r="HX38" i="17"/>
  <c r="HU39" i="17"/>
  <c r="HZ39" i="17" s="1"/>
  <c r="HW38" i="17"/>
  <c r="MD38" i="17"/>
  <c r="LY39" i="17"/>
  <c r="LZ39" i="17"/>
  <c r="MA38" i="17"/>
  <c r="MB38" i="17"/>
  <c r="JX39" i="17"/>
  <c r="FW36" i="17"/>
  <c r="FT37" i="17"/>
  <c r="FY37" i="17" s="1"/>
  <c r="FU37" i="17"/>
  <c r="FV36" i="17"/>
  <c r="AN15" i="17"/>
  <c r="AO14" i="17" s="1"/>
  <c r="AL15" i="17"/>
  <c r="AM14" i="17" s="1"/>
  <c r="JZ38" i="17" l="1"/>
  <c r="JY38" i="17"/>
  <c r="JW39" i="17"/>
  <c r="KB39" i="17" s="1"/>
  <c r="HX39" i="17"/>
  <c r="HW39" i="17"/>
  <c r="HU40" i="17"/>
  <c r="HZ40" i="17" s="1"/>
  <c r="MD39" i="17"/>
  <c r="LY40" i="17"/>
  <c r="LZ40" i="17"/>
  <c r="MA39" i="17"/>
  <c r="MB39" i="17"/>
  <c r="JX40" i="17"/>
  <c r="FW37" i="17"/>
  <c r="FT38" i="17"/>
  <c r="FY38" i="17" s="1"/>
  <c r="FU38" i="17"/>
  <c r="FV37" i="17"/>
  <c r="B6" i="16"/>
  <c r="B5" i="16"/>
  <c r="B4" i="16"/>
  <c r="B3" i="16"/>
  <c r="B2" i="16"/>
  <c r="B1" i="16"/>
  <c r="A16" i="17"/>
  <c r="B67" i="16"/>
  <c r="JW40" i="17" l="1"/>
  <c r="KB40" i="17" s="1"/>
  <c r="JZ39" i="17"/>
  <c r="JY39" i="17"/>
  <c r="HU41" i="17"/>
  <c r="HZ41" i="17" s="1"/>
  <c r="HX40" i="17"/>
  <c r="HW40" i="17"/>
  <c r="MD40" i="17"/>
  <c r="LY41" i="17"/>
  <c r="LZ41" i="17"/>
  <c r="MA40" i="17"/>
  <c r="MB40" i="17"/>
  <c r="JX41" i="17"/>
  <c r="FW38" i="17"/>
  <c r="FT39" i="17"/>
  <c r="FY39" i="17" s="1"/>
  <c r="FU39" i="17"/>
  <c r="FV38" i="17"/>
  <c r="A122" i="30"/>
  <c r="G121" i="30"/>
  <c r="K121" i="30" s="1"/>
  <c r="N121" i="30" s="1"/>
  <c r="G120" i="30"/>
  <c r="K120" i="30" s="1"/>
  <c r="N120" i="30" s="1"/>
  <c r="G119" i="30"/>
  <c r="K119" i="30" s="1"/>
  <c r="N119" i="30" s="1"/>
  <c r="G118" i="30"/>
  <c r="K118" i="30" s="1"/>
  <c r="N118" i="30" s="1"/>
  <c r="G117" i="30"/>
  <c r="K117" i="30" s="1"/>
  <c r="N117" i="30" s="1"/>
  <c r="G116" i="30"/>
  <c r="K116" i="30" s="1"/>
  <c r="N116" i="30" s="1"/>
  <c r="G115" i="30"/>
  <c r="K115" i="30" s="1"/>
  <c r="N115" i="30" s="1"/>
  <c r="G114" i="30"/>
  <c r="K114" i="30" s="1"/>
  <c r="N114" i="30" s="1"/>
  <c r="G113" i="30"/>
  <c r="K113" i="30" s="1"/>
  <c r="N113" i="30" s="1"/>
  <c r="G112" i="30"/>
  <c r="K112" i="30" s="1"/>
  <c r="N112" i="30" s="1"/>
  <c r="G111" i="30"/>
  <c r="K111" i="30" s="1"/>
  <c r="N111" i="30" s="1"/>
  <c r="G110" i="30"/>
  <c r="K110" i="30" s="1"/>
  <c r="N110" i="30" s="1"/>
  <c r="K109" i="30"/>
  <c r="N109" i="30" s="1"/>
  <c r="G109" i="30"/>
  <c r="G108" i="30"/>
  <c r="K108" i="30" s="1"/>
  <c r="N108" i="30" s="1"/>
  <c r="G107" i="30"/>
  <c r="K107" i="30" s="1"/>
  <c r="N107" i="30" s="1"/>
  <c r="A98" i="30"/>
  <c r="G97" i="30"/>
  <c r="K97" i="30" s="1"/>
  <c r="G96" i="30"/>
  <c r="K96" i="30" s="1"/>
  <c r="P96" i="30" s="1"/>
  <c r="G95" i="30"/>
  <c r="K95" i="30" s="1"/>
  <c r="P95" i="30" s="1"/>
  <c r="G94" i="30"/>
  <c r="K94" i="30" s="1"/>
  <c r="P94" i="30" s="1"/>
  <c r="G93" i="30"/>
  <c r="K93" i="30" s="1"/>
  <c r="P93" i="30" s="1"/>
  <c r="G92" i="30"/>
  <c r="K92" i="30" s="1"/>
  <c r="P92" i="30" s="1"/>
  <c r="G91" i="30"/>
  <c r="K91" i="30" s="1"/>
  <c r="P91" i="30" s="1"/>
  <c r="G90" i="30"/>
  <c r="K90" i="30" s="1"/>
  <c r="P90" i="30" s="1"/>
  <c r="G89" i="30"/>
  <c r="K89" i="30" s="1"/>
  <c r="P89" i="30" s="1"/>
  <c r="G88" i="30"/>
  <c r="K88" i="30" s="1"/>
  <c r="P88" i="30" s="1"/>
  <c r="G87" i="30"/>
  <c r="K87" i="30" s="1"/>
  <c r="P87" i="30" s="1"/>
  <c r="G86" i="30"/>
  <c r="K86" i="30" s="1"/>
  <c r="P86" i="30" s="1"/>
  <c r="G85" i="30"/>
  <c r="K85" i="30" s="1"/>
  <c r="P85" i="30" s="1"/>
  <c r="G84" i="30"/>
  <c r="K84" i="30" s="1"/>
  <c r="P84" i="30" s="1"/>
  <c r="G83" i="30"/>
  <c r="K83" i="30" s="1"/>
  <c r="P83" i="30" s="1"/>
  <c r="G82" i="30"/>
  <c r="K82" i="30" s="1"/>
  <c r="P82" i="30" s="1"/>
  <c r="G81" i="30"/>
  <c r="K81" i="30" s="1"/>
  <c r="P81" i="30" s="1"/>
  <c r="G80" i="30"/>
  <c r="K80" i="30" s="1"/>
  <c r="P80" i="30" s="1"/>
  <c r="G79" i="30"/>
  <c r="K79" i="30" s="1"/>
  <c r="P79" i="30" s="1"/>
  <c r="G78" i="30"/>
  <c r="K78" i="30" s="1"/>
  <c r="P78" i="30" s="1"/>
  <c r="G77" i="30"/>
  <c r="K77" i="30" s="1"/>
  <c r="P77" i="30" s="1"/>
  <c r="G76" i="30"/>
  <c r="K76" i="30" s="1"/>
  <c r="P76" i="30" s="1"/>
  <c r="G75" i="30"/>
  <c r="K75" i="30" s="1"/>
  <c r="P75" i="30" s="1"/>
  <c r="G74" i="30"/>
  <c r="K74" i="30" s="1"/>
  <c r="P74" i="30" s="1"/>
  <c r="G73" i="30"/>
  <c r="K73" i="30" s="1"/>
  <c r="N73" i="30" s="1"/>
  <c r="A64" i="30"/>
  <c r="G63" i="30"/>
  <c r="K63" i="30" s="1"/>
  <c r="N63" i="30" s="1"/>
  <c r="G62" i="30"/>
  <c r="K62" i="30" s="1"/>
  <c r="N62" i="30" s="1"/>
  <c r="G61" i="30"/>
  <c r="K61" i="30" s="1"/>
  <c r="N61" i="30" s="1"/>
  <c r="G60" i="30"/>
  <c r="K60" i="30" s="1"/>
  <c r="N60" i="30" s="1"/>
  <c r="G59" i="30"/>
  <c r="K59" i="30" s="1"/>
  <c r="N59" i="30" s="1"/>
  <c r="G58" i="30"/>
  <c r="K58" i="30" s="1"/>
  <c r="N58" i="30" s="1"/>
  <c r="G57" i="30"/>
  <c r="K57" i="30" s="1"/>
  <c r="N57" i="30" s="1"/>
  <c r="G56" i="30"/>
  <c r="K56" i="30" s="1"/>
  <c r="N56" i="30" s="1"/>
  <c r="G55" i="30"/>
  <c r="K55" i="30" s="1"/>
  <c r="N55" i="30" s="1"/>
  <c r="G54" i="30"/>
  <c r="K54" i="30" s="1"/>
  <c r="N54" i="30" s="1"/>
  <c r="G53" i="30"/>
  <c r="K53" i="30" s="1"/>
  <c r="N53" i="30" s="1"/>
  <c r="G52" i="30"/>
  <c r="K52" i="30" s="1"/>
  <c r="N52" i="30" s="1"/>
  <c r="G51" i="30"/>
  <c r="K51" i="30" s="1"/>
  <c r="N51" i="30" s="1"/>
  <c r="G50" i="30"/>
  <c r="K50" i="30" s="1"/>
  <c r="N50" i="30" s="1"/>
  <c r="G49" i="30"/>
  <c r="K49" i="30" s="1"/>
  <c r="N49" i="30" s="1"/>
  <c r="G39" i="30"/>
  <c r="K39" i="30" s="1"/>
  <c r="G38" i="30"/>
  <c r="K38" i="30" s="1"/>
  <c r="G37" i="30"/>
  <c r="K37" i="30" s="1"/>
  <c r="G36" i="30"/>
  <c r="K36" i="30" s="1"/>
  <c r="G35" i="30"/>
  <c r="K35" i="30" s="1"/>
  <c r="G34" i="30"/>
  <c r="K34" i="30" s="1"/>
  <c r="G33" i="30"/>
  <c r="K33" i="30" s="1"/>
  <c r="G32" i="30"/>
  <c r="K32" i="30" s="1"/>
  <c r="G31" i="30"/>
  <c r="K31" i="30" s="1"/>
  <c r="G30" i="30"/>
  <c r="K30" i="30" s="1"/>
  <c r="G29" i="30"/>
  <c r="K29" i="30" s="1"/>
  <c r="G28" i="30"/>
  <c r="K28" i="30" s="1"/>
  <c r="G27" i="30"/>
  <c r="K27" i="30" s="1"/>
  <c r="G26" i="30"/>
  <c r="K26" i="30" s="1"/>
  <c r="G25" i="30"/>
  <c r="K25" i="30" s="1"/>
  <c r="G24" i="30"/>
  <c r="K24" i="30" s="1"/>
  <c r="G23" i="30"/>
  <c r="K23" i="30" s="1"/>
  <c r="G22" i="30"/>
  <c r="K22" i="30" s="1"/>
  <c r="G21" i="30"/>
  <c r="K21" i="30" s="1"/>
  <c r="G20" i="30"/>
  <c r="K20" i="30" s="1"/>
  <c r="G19" i="30"/>
  <c r="K19" i="30" s="1"/>
  <c r="G18" i="30"/>
  <c r="K18" i="30" s="1"/>
  <c r="G17" i="30"/>
  <c r="K17" i="30" s="1"/>
  <c r="G16" i="30"/>
  <c r="K16" i="30" s="1"/>
  <c r="G15" i="30"/>
  <c r="K15" i="30" s="1"/>
  <c r="N75" i="30" l="1"/>
  <c r="N77" i="30"/>
  <c r="N83" i="30"/>
  <c r="N79" i="30"/>
  <c r="N85" i="30"/>
  <c r="N81" i="30"/>
  <c r="N103" i="30"/>
  <c r="M103" i="30" s="1"/>
  <c r="N74" i="30"/>
  <c r="N76" i="30"/>
  <c r="N78" i="30"/>
  <c r="N80" i="30"/>
  <c r="N82" i="30"/>
  <c r="N84" i="30"/>
  <c r="N86" i="30"/>
  <c r="N88" i="30"/>
  <c r="N90" i="30"/>
  <c r="N92" i="30"/>
  <c r="N94" i="30"/>
  <c r="N96" i="30"/>
  <c r="K45" i="30"/>
  <c r="N87" i="30"/>
  <c r="N89" i="30"/>
  <c r="N91" i="30"/>
  <c r="N93" i="30"/>
  <c r="N95" i="30"/>
  <c r="JZ40" i="17"/>
  <c r="JW41" i="17"/>
  <c r="KB41" i="17" s="1"/>
  <c r="JY40" i="17"/>
  <c r="HW41" i="17"/>
  <c r="HX41" i="17"/>
  <c r="HU42" i="17"/>
  <c r="HZ42" i="17" s="1"/>
  <c r="MD41" i="17"/>
  <c r="LY42" i="17"/>
  <c r="LZ42" i="17"/>
  <c r="MA41" i="17"/>
  <c r="MB41" i="17"/>
  <c r="JX42" i="17"/>
  <c r="FU40" i="17"/>
  <c r="FV39" i="17"/>
  <c r="FW39" i="17"/>
  <c r="FT40" i="17"/>
  <c r="FY40" i="17" s="1"/>
  <c r="P16" i="30"/>
  <c r="N16" i="30"/>
  <c r="P20" i="30"/>
  <c r="N20" i="30"/>
  <c r="P24" i="30"/>
  <c r="N24" i="30"/>
  <c r="N28" i="30"/>
  <c r="P28" i="30"/>
  <c r="N30" i="30"/>
  <c r="P30" i="30"/>
  <c r="N34" i="30"/>
  <c r="P34" i="30"/>
  <c r="N36" i="30"/>
  <c r="P36" i="30"/>
  <c r="N38" i="30"/>
  <c r="P38" i="30"/>
  <c r="N15" i="30"/>
  <c r="P15" i="30"/>
  <c r="K11" i="30"/>
  <c r="N17" i="30"/>
  <c r="P17" i="30"/>
  <c r="N19" i="30"/>
  <c r="P19" i="30"/>
  <c r="N21" i="30"/>
  <c r="P21" i="30"/>
  <c r="N23" i="30"/>
  <c r="P23" i="30"/>
  <c r="N25" i="30"/>
  <c r="P25" i="30"/>
  <c r="P27" i="30"/>
  <c r="N27" i="30"/>
  <c r="N29" i="30"/>
  <c r="P29" i="30"/>
  <c r="N31" i="30"/>
  <c r="P31" i="30"/>
  <c r="N33" i="30"/>
  <c r="P33" i="30"/>
  <c r="N35" i="30"/>
  <c r="P35" i="30"/>
  <c r="N37" i="30"/>
  <c r="P37" i="30"/>
  <c r="N39" i="30"/>
  <c r="P39" i="30"/>
  <c r="N45" i="30"/>
  <c r="P18" i="30"/>
  <c r="N18" i="30"/>
  <c r="P22" i="30"/>
  <c r="N22" i="30"/>
  <c r="N26" i="30"/>
  <c r="P26" i="30"/>
  <c r="N32" i="30"/>
  <c r="P32" i="30"/>
  <c r="P73" i="30"/>
  <c r="K69" i="30"/>
  <c r="N97" i="30"/>
  <c r="P97" i="30"/>
  <c r="M45" i="30" l="1"/>
  <c r="P71" i="30"/>
  <c r="L69" i="30" s="1"/>
  <c r="N69" i="30"/>
  <c r="M69" i="30" s="1"/>
  <c r="JW42" i="17"/>
  <c r="KB42" i="17" s="1"/>
  <c r="JY41" i="17"/>
  <c r="JZ41" i="17"/>
  <c r="HW42" i="17"/>
  <c r="HU43" i="17"/>
  <c r="HZ43" i="17" s="1"/>
  <c r="HX42" i="17"/>
  <c r="MD42" i="17"/>
  <c r="LY43" i="17"/>
  <c r="LZ43" i="17"/>
  <c r="MA42" i="17"/>
  <c r="MB42" i="17"/>
  <c r="JX43" i="17"/>
  <c r="JY42" i="17"/>
  <c r="FW40" i="17"/>
  <c r="FT41" i="17"/>
  <c r="FY41" i="17" s="1"/>
  <c r="FU41" i="17"/>
  <c r="FV40" i="17"/>
  <c r="P13" i="30"/>
  <c r="L11" i="30" s="1"/>
  <c r="N11" i="30"/>
  <c r="M11" i="30" s="1"/>
  <c r="JW43" i="17" l="1"/>
  <c r="KB43" i="17" s="1"/>
  <c r="JZ42" i="17"/>
  <c r="HW43" i="17"/>
  <c r="HU44" i="17"/>
  <c r="HZ44" i="17" s="1"/>
  <c r="HX43" i="17"/>
  <c r="MD43" i="17"/>
  <c r="LY44" i="17"/>
  <c r="LZ44" i="17"/>
  <c r="MA43" i="17"/>
  <c r="MB43" i="17"/>
  <c r="JY43" i="17"/>
  <c r="JX44" i="17"/>
  <c r="JZ43" i="17"/>
  <c r="FU42" i="17"/>
  <c r="FV41" i="17"/>
  <c r="FW41" i="17"/>
  <c r="FT42" i="17"/>
  <c r="FY42" i="17" s="1"/>
  <c r="E74" i="17"/>
  <c r="C74" i="17"/>
  <c r="E73" i="17"/>
  <c r="C73" i="17"/>
  <c r="E72" i="17"/>
  <c r="C72" i="17"/>
  <c r="E71" i="17"/>
  <c r="C71" i="17"/>
  <c r="E70" i="17"/>
  <c r="C70" i="17"/>
  <c r="E69" i="17"/>
  <c r="C69" i="17"/>
  <c r="E68" i="17"/>
  <c r="C68" i="17"/>
  <c r="E67" i="17"/>
  <c r="C67" i="17"/>
  <c r="E66" i="17"/>
  <c r="C66" i="17"/>
  <c r="E65" i="17"/>
  <c r="C65" i="17"/>
  <c r="E64" i="17"/>
  <c r="C64" i="17"/>
  <c r="E63" i="17"/>
  <c r="C63" i="17"/>
  <c r="E62" i="17"/>
  <c r="C62" i="17"/>
  <c r="E61" i="17"/>
  <c r="C61" i="17"/>
  <c r="E60" i="17"/>
  <c r="C60" i="17"/>
  <c r="E59" i="17"/>
  <c r="C59" i="17"/>
  <c r="E58" i="17"/>
  <c r="C58" i="17"/>
  <c r="G57" i="17"/>
  <c r="E57" i="17"/>
  <c r="C57" i="17"/>
  <c r="G56" i="17"/>
  <c r="E56" i="17"/>
  <c r="C56" i="17"/>
  <c r="G55" i="17"/>
  <c r="E55" i="17"/>
  <c r="C55" i="17"/>
  <c r="G54" i="17"/>
  <c r="E54" i="17"/>
  <c r="C54" i="17"/>
  <c r="G53" i="17"/>
  <c r="E53" i="17"/>
  <c r="C53" i="17"/>
  <c r="G52" i="17"/>
  <c r="E52" i="17"/>
  <c r="C52" i="17"/>
  <c r="G51" i="17"/>
  <c r="E51" i="17"/>
  <c r="C51" i="17"/>
  <c r="G50" i="17"/>
  <c r="E50" i="17"/>
  <c r="C50" i="17"/>
  <c r="G49" i="17"/>
  <c r="E49" i="17"/>
  <c r="C49" i="17"/>
  <c r="G48" i="17"/>
  <c r="E48" i="17"/>
  <c r="C48" i="17"/>
  <c r="G47" i="17"/>
  <c r="E47" i="17"/>
  <c r="C47" i="17"/>
  <c r="G46" i="17"/>
  <c r="E46" i="17"/>
  <c r="C46" i="17"/>
  <c r="G45" i="17"/>
  <c r="E45" i="17"/>
  <c r="C45" i="17"/>
  <c r="G44" i="17"/>
  <c r="E44" i="17"/>
  <c r="C44" i="17"/>
  <c r="G43" i="17"/>
  <c r="E43" i="17"/>
  <c r="C43" i="17"/>
  <c r="G42" i="17"/>
  <c r="E42" i="17"/>
  <c r="C42" i="17"/>
  <c r="G41" i="17"/>
  <c r="E41" i="17"/>
  <c r="C41" i="17"/>
  <c r="G40" i="17"/>
  <c r="E40" i="17"/>
  <c r="C40" i="17"/>
  <c r="G39" i="17"/>
  <c r="E39" i="17"/>
  <c r="C39" i="17"/>
  <c r="G38" i="17"/>
  <c r="E38" i="17"/>
  <c r="C38" i="17"/>
  <c r="G37" i="17"/>
  <c r="E37" i="17"/>
  <c r="C37" i="17"/>
  <c r="G36" i="17"/>
  <c r="E36" i="17"/>
  <c r="C36" i="17"/>
  <c r="G35" i="17"/>
  <c r="E35" i="17"/>
  <c r="C35" i="17"/>
  <c r="G34" i="17"/>
  <c r="E34" i="17"/>
  <c r="C34" i="17"/>
  <c r="G33" i="17"/>
  <c r="E33" i="17"/>
  <c r="C33" i="17"/>
  <c r="G32" i="17"/>
  <c r="E32" i="17"/>
  <c r="C32" i="17"/>
  <c r="G31" i="17"/>
  <c r="E31" i="17"/>
  <c r="C31" i="17"/>
  <c r="G30" i="17"/>
  <c r="E30" i="17"/>
  <c r="C30" i="17"/>
  <c r="G29" i="17"/>
  <c r="E29" i="17"/>
  <c r="C29" i="17"/>
  <c r="G28" i="17"/>
  <c r="E28" i="17"/>
  <c r="C28" i="17"/>
  <c r="G27" i="17"/>
  <c r="E27" i="17"/>
  <c r="C27" i="17"/>
  <c r="G26" i="17"/>
  <c r="E26" i="17"/>
  <c r="C26" i="17"/>
  <c r="G25" i="17"/>
  <c r="C25" i="17"/>
  <c r="G24" i="17"/>
  <c r="B24" i="17"/>
  <c r="C24" i="17" s="1"/>
  <c r="CI21" i="17"/>
  <c r="CH21" i="17"/>
  <c r="CG21" i="17"/>
  <c r="CF21" i="17"/>
  <c r="CE21" i="17"/>
  <c r="CD21" i="17"/>
  <c r="CC21" i="17"/>
  <c r="CB21" i="17"/>
  <c r="F21" i="17"/>
  <c r="CI20" i="17"/>
  <c r="CH20" i="17"/>
  <c r="CG20" i="17"/>
  <c r="CF20" i="17"/>
  <c r="CE20" i="17"/>
  <c r="CC20" i="17"/>
  <c r="CB20" i="17"/>
  <c r="AN19" i="17"/>
  <c r="AN24" i="17" s="1"/>
  <c r="AK24" i="17" s="1"/>
  <c r="BV18" i="17"/>
  <c r="BV17" i="17"/>
  <c r="AN17" i="17"/>
  <c r="AL16" i="17"/>
  <c r="AL17" i="17" s="1"/>
  <c r="C49" i="16"/>
  <c r="C38" i="16"/>
  <c r="AC1" i="16"/>
  <c r="AL2" i="16"/>
  <c r="AC7" i="16"/>
  <c r="AJ2" i="16"/>
  <c r="AE3" i="16"/>
  <c r="AI8" i="16"/>
  <c r="AD6" i="16"/>
  <c r="AC4" i="16"/>
  <c r="AM3" i="16"/>
  <c r="AF2" i="16"/>
  <c r="AD2" i="16"/>
  <c r="AK7" i="16"/>
  <c r="AJ6" i="16"/>
  <c r="AH4" i="16"/>
  <c r="AF6" i="16"/>
  <c r="AC3" i="16"/>
  <c r="AI3" i="16"/>
  <c r="AL6" i="16"/>
  <c r="AM7" i="16"/>
  <c r="AM8" i="16"/>
  <c r="AM10" i="16"/>
  <c r="AG8" i="16"/>
  <c r="AC8" i="16"/>
  <c r="AG3" i="16"/>
  <c r="AH3" i="16"/>
  <c r="AK3" i="16"/>
  <c r="AH10" i="16"/>
  <c r="AM4" i="16"/>
  <c r="JW44" i="17" l="1"/>
  <c r="KB44" i="17" s="1"/>
  <c r="AL18" i="17"/>
  <c r="AL24" i="17" s="1"/>
  <c r="AI24" i="17" s="1"/>
  <c r="HU45" i="17"/>
  <c r="HZ45" i="17" s="1"/>
  <c r="HX44" i="17"/>
  <c r="HW44" i="17"/>
  <c r="CF68" i="17"/>
  <c r="CF69" i="17"/>
  <c r="CF74" i="17"/>
  <c r="CF61" i="17"/>
  <c r="CF62" i="17"/>
  <c r="CF67" i="17"/>
  <c r="CF59" i="17"/>
  <c r="CF60" i="17"/>
  <c r="CF63" i="17"/>
  <c r="CF65" i="17"/>
  <c r="CF58" i="17"/>
  <c r="CF71" i="17"/>
  <c r="CF73" i="17"/>
  <c r="CF64" i="17"/>
  <c r="CF66" i="17"/>
  <c r="CF70" i="17"/>
  <c r="CF72" i="17"/>
  <c r="CC58" i="17"/>
  <c r="CC61" i="17"/>
  <c r="CC64" i="17"/>
  <c r="CC66" i="17"/>
  <c r="CC70" i="17"/>
  <c r="CC71" i="17"/>
  <c r="CC72" i="17"/>
  <c r="CC73" i="17"/>
  <c r="CC67" i="17"/>
  <c r="CC60" i="17"/>
  <c r="CC68" i="17"/>
  <c r="CC69" i="17"/>
  <c r="CC62" i="17"/>
  <c r="CC59" i="17"/>
  <c r="CC74" i="17"/>
  <c r="CC63" i="17"/>
  <c r="CC65" i="17"/>
  <c r="CG58" i="17"/>
  <c r="CG61" i="17"/>
  <c r="CG64" i="17"/>
  <c r="CG66" i="17"/>
  <c r="CG70" i="17"/>
  <c r="CG71" i="17"/>
  <c r="CG72" i="17"/>
  <c r="CG73" i="17"/>
  <c r="CG59" i="17"/>
  <c r="CG68" i="17"/>
  <c r="CG69" i="17"/>
  <c r="CG62" i="17"/>
  <c r="CG67" i="17"/>
  <c r="CG60" i="17"/>
  <c r="CG65" i="17"/>
  <c r="CG74" i="17"/>
  <c r="CG63" i="17"/>
  <c r="CD59" i="17"/>
  <c r="CD60" i="17"/>
  <c r="CD63" i="17"/>
  <c r="CD65" i="17"/>
  <c r="CD74" i="17"/>
  <c r="CD68" i="17"/>
  <c r="CD69" i="17"/>
  <c r="CD58" i="17"/>
  <c r="CD61" i="17"/>
  <c r="CD64" i="17"/>
  <c r="CD66" i="17"/>
  <c r="CD70" i="17"/>
  <c r="CD71" i="17"/>
  <c r="CD72" i="17"/>
  <c r="CD73" i="17"/>
  <c r="CD62" i="17"/>
  <c r="CD67" i="17"/>
  <c r="CH59" i="17"/>
  <c r="CH60" i="17"/>
  <c r="CH63" i="17"/>
  <c r="CH65" i="17"/>
  <c r="CH74" i="17"/>
  <c r="CH58" i="17"/>
  <c r="CH61" i="17"/>
  <c r="CH64" i="17"/>
  <c r="CH66" i="17"/>
  <c r="CH70" i="17"/>
  <c r="CH71" i="17"/>
  <c r="CH72" i="17"/>
  <c r="CH73" i="17"/>
  <c r="CH68" i="17"/>
  <c r="CH69" i="17"/>
  <c r="CH62" i="17"/>
  <c r="CH67" i="17"/>
  <c r="CE62" i="17"/>
  <c r="CE67" i="17"/>
  <c r="CE70" i="17"/>
  <c r="CE59" i="17"/>
  <c r="CE60" i="17"/>
  <c r="CE63" i="17"/>
  <c r="CE65" i="17"/>
  <c r="CE74" i="17"/>
  <c r="CE58" i="17"/>
  <c r="CE61" i="17"/>
  <c r="CE64" i="17"/>
  <c r="CE66" i="17"/>
  <c r="CE71" i="17"/>
  <c r="CE72" i="17"/>
  <c r="CE73" i="17"/>
  <c r="CE69" i="17"/>
  <c r="CE68" i="17"/>
  <c r="CI62" i="17"/>
  <c r="CI67" i="17"/>
  <c r="CI71" i="17"/>
  <c r="CI72" i="17"/>
  <c r="CI73" i="17"/>
  <c r="CI59" i="17"/>
  <c r="CI60" i="17"/>
  <c r="CI63" i="17"/>
  <c r="CI65" i="17"/>
  <c r="CI74" i="17"/>
  <c r="CI58" i="17"/>
  <c r="CI61" i="17"/>
  <c r="CI64" i="17"/>
  <c r="CI66" i="17"/>
  <c r="CI70" i="17"/>
  <c r="CI69" i="17"/>
  <c r="CI68" i="17"/>
  <c r="KH29" i="17"/>
  <c r="KO29" i="17" s="1"/>
  <c r="IF29" i="17"/>
  <c r="IM29" i="17" s="1"/>
  <c r="ML29" i="17"/>
  <c r="MP29" i="17" s="1"/>
  <c r="GG29" i="17"/>
  <c r="GK29" i="17" s="1"/>
  <c r="KH37" i="17"/>
  <c r="KO37" i="17" s="1"/>
  <c r="IF37" i="17"/>
  <c r="IM37" i="17" s="1"/>
  <c r="ML37" i="17"/>
  <c r="MP37" i="17" s="1"/>
  <c r="GG37" i="17"/>
  <c r="GK37" i="17" s="1"/>
  <c r="KH49" i="17"/>
  <c r="KO49" i="17" s="1"/>
  <c r="IF49" i="17"/>
  <c r="IM49" i="17" s="1"/>
  <c r="GG49" i="17"/>
  <c r="GK49" i="17" s="1"/>
  <c r="ML49" i="17"/>
  <c r="MP49" i="17" s="1"/>
  <c r="KH53" i="17"/>
  <c r="KO53" i="17" s="1"/>
  <c r="IF53" i="17"/>
  <c r="IM53" i="17" s="1"/>
  <c r="ML53" i="17"/>
  <c r="MP53" i="17" s="1"/>
  <c r="GG53" i="17"/>
  <c r="GK53" i="17" s="1"/>
  <c r="KH25" i="17"/>
  <c r="KO25" i="17" s="1"/>
  <c r="IF25" i="17"/>
  <c r="IM25" i="17" s="1"/>
  <c r="ML25" i="17"/>
  <c r="MP25" i="17" s="1"/>
  <c r="GG25" i="17"/>
  <c r="GK25" i="17" s="1"/>
  <c r="GG32" i="17"/>
  <c r="GK32" i="17" s="1"/>
  <c r="ML32" i="17"/>
  <c r="MP32" i="17" s="1"/>
  <c r="KH32" i="17"/>
  <c r="KO32" i="17" s="1"/>
  <c r="IF32" i="17"/>
  <c r="IM32" i="17" s="1"/>
  <c r="GG36" i="17"/>
  <c r="GK36" i="17" s="1"/>
  <c r="IF36" i="17"/>
  <c r="IM36" i="17" s="1"/>
  <c r="KH36" i="17"/>
  <c r="KO36" i="17" s="1"/>
  <c r="ML36" i="17"/>
  <c r="MP36" i="17" s="1"/>
  <c r="GG48" i="17"/>
  <c r="GK48" i="17" s="1"/>
  <c r="ML48" i="17"/>
  <c r="MP48" i="17" s="1"/>
  <c r="KH48" i="17"/>
  <c r="KO48" i="17" s="1"/>
  <c r="IF48" i="17"/>
  <c r="IM48" i="17" s="1"/>
  <c r="GG56" i="17"/>
  <c r="GK56" i="17" s="1"/>
  <c r="ML56" i="17"/>
  <c r="MP56" i="17" s="1"/>
  <c r="KH56" i="17"/>
  <c r="KO56" i="17" s="1"/>
  <c r="IF56" i="17"/>
  <c r="IM56" i="17" s="1"/>
  <c r="GG59" i="17"/>
  <c r="GK59" i="17" s="1"/>
  <c r="ML59" i="17"/>
  <c r="MP59" i="17" s="1"/>
  <c r="KH59" i="17"/>
  <c r="KO59" i="17" s="1"/>
  <c r="IF59" i="17"/>
  <c r="IM59" i="17" s="1"/>
  <c r="GG63" i="17"/>
  <c r="GK63" i="17" s="1"/>
  <c r="KH63" i="17"/>
  <c r="KO63" i="17" s="1"/>
  <c r="IF63" i="17"/>
  <c r="IM63" i="17" s="1"/>
  <c r="ML63" i="17"/>
  <c r="MP63" i="17" s="1"/>
  <c r="GG67" i="17"/>
  <c r="GK67" i="17" s="1"/>
  <c r="IF67" i="17"/>
  <c r="IM67" i="17" s="1"/>
  <c r="KH67" i="17"/>
  <c r="KO67" i="17" s="1"/>
  <c r="ML67" i="17"/>
  <c r="MP67" i="17" s="1"/>
  <c r="IF71" i="17"/>
  <c r="IM71" i="17" s="1"/>
  <c r="KH71" i="17"/>
  <c r="KO71" i="17" s="1"/>
  <c r="GG71" i="17"/>
  <c r="GK71" i="17" s="1"/>
  <c r="ML71" i="17"/>
  <c r="MP71" i="17" s="1"/>
  <c r="KH73" i="17"/>
  <c r="KO73" i="17" s="1"/>
  <c r="ML73" i="17"/>
  <c r="MP73" i="17" s="1"/>
  <c r="GG73" i="17"/>
  <c r="GK73" i="17" s="1"/>
  <c r="IF73" i="17"/>
  <c r="IM73" i="17" s="1"/>
  <c r="KH31" i="17"/>
  <c r="KO31" i="17" s="1"/>
  <c r="ML31" i="17"/>
  <c r="MP31" i="17" s="1"/>
  <c r="GG31" i="17"/>
  <c r="GK31" i="17" s="1"/>
  <c r="IF31" i="17"/>
  <c r="IM31" i="17" s="1"/>
  <c r="IF35" i="17"/>
  <c r="IM35" i="17" s="1"/>
  <c r="GG35" i="17"/>
  <c r="GK35" i="17" s="1"/>
  <c r="KH35" i="17"/>
  <c r="KO35" i="17" s="1"/>
  <c r="ML35" i="17"/>
  <c r="MP35" i="17" s="1"/>
  <c r="KH39" i="17"/>
  <c r="KO39" i="17" s="1"/>
  <c r="ML39" i="17"/>
  <c r="MP39" i="17" s="1"/>
  <c r="GG39" i="17"/>
  <c r="GK39" i="17" s="1"/>
  <c r="IF39" i="17"/>
  <c r="IM39" i="17" s="1"/>
  <c r="GG47" i="17"/>
  <c r="GK47" i="17" s="1"/>
  <c r="KH47" i="17"/>
  <c r="KO47" i="17" s="1"/>
  <c r="ML47" i="17"/>
  <c r="MP47" i="17" s="1"/>
  <c r="IF47" i="17"/>
  <c r="IM47" i="17" s="1"/>
  <c r="KH51" i="17"/>
  <c r="KO51" i="17" s="1"/>
  <c r="ML51" i="17"/>
  <c r="MP51" i="17" s="1"/>
  <c r="IF51" i="17"/>
  <c r="IM51" i="17" s="1"/>
  <c r="GG51" i="17"/>
  <c r="GK51" i="17" s="1"/>
  <c r="GG24" i="17"/>
  <c r="GK24" i="17" s="1"/>
  <c r="ML24" i="17"/>
  <c r="MP24" i="17" s="1"/>
  <c r="KH24" i="17"/>
  <c r="IF24" i="17"/>
  <c r="IM24" i="17" s="1"/>
  <c r="ML26" i="17"/>
  <c r="MP26" i="17" s="1"/>
  <c r="IF26" i="17"/>
  <c r="IM26" i="17" s="1"/>
  <c r="GG26" i="17"/>
  <c r="GK26" i="17" s="1"/>
  <c r="KH26" i="17"/>
  <c r="KO26" i="17" s="1"/>
  <c r="ML30" i="17"/>
  <c r="MP30" i="17" s="1"/>
  <c r="IF30" i="17"/>
  <c r="IM30" i="17" s="1"/>
  <c r="GG30" i="17"/>
  <c r="GK30" i="17" s="1"/>
  <c r="KH30" i="17"/>
  <c r="KO30" i="17" s="1"/>
  <c r="ML34" i="17"/>
  <c r="MP34" i="17" s="1"/>
  <c r="IF34" i="17"/>
  <c r="IM34" i="17" s="1"/>
  <c r="GG34" i="17"/>
  <c r="GK34" i="17" s="1"/>
  <c r="KH34" i="17"/>
  <c r="KO34" i="17" s="1"/>
  <c r="ML38" i="17"/>
  <c r="MP38" i="17" s="1"/>
  <c r="IF38" i="17"/>
  <c r="IM38" i="17" s="1"/>
  <c r="GG38" i="17"/>
  <c r="GK38" i="17" s="1"/>
  <c r="KH38" i="17"/>
  <c r="KO38" i="17" s="1"/>
  <c r="ML42" i="17"/>
  <c r="MP42" i="17" s="1"/>
  <c r="IF42" i="17"/>
  <c r="IM42" i="17" s="1"/>
  <c r="GG42" i="17"/>
  <c r="GK42" i="17" s="1"/>
  <c r="KH42" i="17"/>
  <c r="KO42" i="17" s="1"/>
  <c r="ML46" i="17"/>
  <c r="MP46" i="17" s="1"/>
  <c r="IF46" i="17"/>
  <c r="IM46" i="17" s="1"/>
  <c r="GG46" i="17"/>
  <c r="GK46" i="17" s="1"/>
  <c r="KH46" i="17"/>
  <c r="KO46" i="17" s="1"/>
  <c r="ML50" i="17"/>
  <c r="MP50" i="17" s="1"/>
  <c r="IF50" i="17"/>
  <c r="IM50" i="17" s="1"/>
  <c r="GG50" i="17"/>
  <c r="GK50" i="17" s="1"/>
  <c r="KH50" i="17"/>
  <c r="KO50" i="17" s="1"/>
  <c r="ML54" i="17"/>
  <c r="MP54" i="17" s="1"/>
  <c r="IF54" i="17"/>
  <c r="IM54" i="17" s="1"/>
  <c r="GG54" i="17"/>
  <c r="GK54" i="17" s="1"/>
  <c r="KH54" i="17"/>
  <c r="KO54" i="17" s="1"/>
  <c r="GG58" i="17"/>
  <c r="GK58" i="17" s="1"/>
  <c r="ML58" i="17"/>
  <c r="MP58" i="17" s="1"/>
  <c r="KH58" i="17"/>
  <c r="KO58" i="17" s="1"/>
  <c r="IF58" i="17"/>
  <c r="IM58" i="17" s="1"/>
  <c r="GG60" i="17"/>
  <c r="GK60" i="17" s="1"/>
  <c r="KH60" i="17"/>
  <c r="KO60" i="17" s="1"/>
  <c r="IF60" i="17"/>
  <c r="IM60" i="17" s="1"/>
  <c r="ML60" i="17"/>
  <c r="MP60" i="17" s="1"/>
  <c r="GG62" i="17"/>
  <c r="GK62" i="17" s="1"/>
  <c r="ML62" i="17"/>
  <c r="MP62" i="17" s="1"/>
  <c r="IF62" i="17"/>
  <c r="IM62" i="17" s="1"/>
  <c r="KH62" i="17"/>
  <c r="KO62" i="17" s="1"/>
  <c r="GG64" i="17"/>
  <c r="GK64" i="17" s="1"/>
  <c r="IF64" i="17"/>
  <c r="IM64" i="17" s="1"/>
  <c r="ML64" i="17"/>
  <c r="MP64" i="17" s="1"/>
  <c r="KH64" i="17"/>
  <c r="KO64" i="17" s="1"/>
  <c r="IF66" i="17"/>
  <c r="IM66" i="17" s="1"/>
  <c r="ML66" i="17"/>
  <c r="MP66" i="17" s="1"/>
  <c r="KH66" i="17"/>
  <c r="KO66" i="17" s="1"/>
  <c r="GG66" i="17"/>
  <c r="GK66" i="17" s="1"/>
  <c r="IF68" i="17"/>
  <c r="IM68" i="17" s="1"/>
  <c r="KH68" i="17"/>
  <c r="KO68" i="17" s="1"/>
  <c r="GG68" i="17"/>
  <c r="GK68" i="17" s="1"/>
  <c r="ML68" i="17"/>
  <c r="MP68" i="17" s="1"/>
  <c r="IF70" i="17"/>
  <c r="IM70" i="17" s="1"/>
  <c r="KH70" i="17"/>
  <c r="KO70" i="17" s="1"/>
  <c r="GG70" i="17"/>
  <c r="GK70" i="17" s="1"/>
  <c r="ML70" i="17"/>
  <c r="MP70" i="17" s="1"/>
  <c r="KH72" i="17"/>
  <c r="KO72" i="17" s="1"/>
  <c r="GG72" i="17"/>
  <c r="GK72" i="17" s="1"/>
  <c r="ML72" i="17"/>
  <c r="MP72" i="17" s="1"/>
  <c r="IF72" i="17"/>
  <c r="IM72" i="17" s="1"/>
  <c r="IF74" i="17"/>
  <c r="IM74" i="17" s="1"/>
  <c r="KH74" i="17"/>
  <c r="KO74" i="17" s="1"/>
  <c r="GG74" i="17"/>
  <c r="GK74" i="17" s="1"/>
  <c r="ML74" i="17"/>
  <c r="MP74" i="17" s="1"/>
  <c r="KH33" i="17"/>
  <c r="KO33" i="17" s="1"/>
  <c r="GG33" i="17"/>
  <c r="GK33" i="17" s="1"/>
  <c r="ML33" i="17"/>
  <c r="MP33" i="17" s="1"/>
  <c r="IF33" i="17"/>
  <c r="IM33" i="17" s="1"/>
  <c r="KH41" i="17"/>
  <c r="KO41" i="17" s="1"/>
  <c r="IF41" i="17"/>
  <c r="IM41" i="17" s="1"/>
  <c r="GG41" i="17"/>
  <c r="GK41" i="17" s="1"/>
  <c r="ML41" i="17"/>
  <c r="MP41" i="17" s="1"/>
  <c r="KH45" i="17"/>
  <c r="KO45" i="17" s="1"/>
  <c r="ML45" i="17"/>
  <c r="MP45" i="17" s="1"/>
  <c r="IF45" i="17"/>
  <c r="IM45" i="17" s="1"/>
  <c r="GG45" i="17"/>
  <c r="GK45" i="17" s="1"/>
  <c r="KH57" i="17"/>
  <c r="KO57" i="17" s="1"/>
  <c r="GG57" i="17"/>
  <c r="GK57" i="17" s="1"/>
  <c r="ML57" i="17"/>
  <c r="MP57" i="17" s="1"/>
  <c r="IF57" i="17"/>
  <c r="IM57" i="17" s="1"/>
  <c r="GG28" i="17"/>
  <c r="GK28" i="17" s="1"/>
  <c r="IF28" i="17"/>
  <c r="IM28" i="17" s="1"/>
  <c r="KH28" i="17"/>
  <c r="KO28" i="17" s="1"/>
  <c r="ML28" i="17"/>
  <c r="MP28" i="17" s="1"/>
  <c r="GG40" i="17"/>
  <c r="GK40" i="17" s="1"/>
  <c r="ML40" i="17"/>
  <c r="MP40" i="17" s="1"/>
  <c r="KH40" i="17"/>
  <c r="KO40" i="17" s="1"/>
  <c r="IF40" i="17"/>
  <c r="IM40" i="17" s="1"/>
  <c r="GG44" i="17"/>
  <c r="GK44" i="17" s="1"/>
  <c r="ML44" i="17"/>
  <c r="MP44" i="17" s="1"/>
  <c r="IF44" i="17"/>
  <c r="IM44" i="17" s="1"/>
  <c r="KH44" i="17"/>
  <c r="KO44" i="17" s="1"/>
  <c r="GG52" i="17"/>
  <c r="GK52" i="17" s="1"/>
  <c r="ML52" i="17"/>
  <c r="MP52" i="17" s="1"/>
  <c r="IF52" i="17"/>
  <c r="IM52" i="17" s="1"/>
  <c r="KH52" i="17"/>
  <c r="KO52" i="17" s="1"/>
  <c r="GG61" i="17"/>
  <c r="GK61" i="17" s="1"/>
  <c r="ML61" i="17"/>
  <c r="MP61" i="17" s="1"/>
  <c r="KH61" i="17"/>
  <c r="KO61" i="17" s="1"/>
  <c r="IF61" i="17"/>
  <c r="IM61" i="17" s="1"/>
  <c r="KH65" i="17"/>
  <c r="KO65" i="17" s="1"/>
  <c r="GG65" i="17"/>
  <c r="GK65" i="17" s="1"/>
  <c r="ML65" i="17"/>
  <c r="MP65" i="17" s="1"/>
  <c r="IF65" i="17"/>
  <c r="IM65" i="17" s="1"/>
  <c r="IF69" i="17"/>
  <c r="IM69" i="17" s="1"/>
  <c r="KH69" i="17"/>
  <c r="KO69" i="17" s="1"/>
  <c r="ML69" i="17"/>
  <c r="MP69" i="17" s="1"/>
  <c r="GG69" i="17"/>
  <c r="GK69" i="17" s="1"/>
  <c r="GG27" i="17"/>
  <c r="GK27" i="17" s="1"/>
  <c r="KH27" i="17"/>
  <c r="KO27" i="17" s="1"/>
  <c r="ML27" i="17"/>
  <c r="MP27" i="17" s="1"/>
  <c r="IF27" i="17"/>
  <c r="IM27" i="17" s="1"/>
  <c r="IF43" i="17"/>
  <c r="IM43" i="17" s="1"/>
  <c r="GG43" i="17"/>
  <c r="GK43" i="17" s="1"/>
  <c r="KH43" i="17"/>
  <c r="KO43" i="17" s="1"/>
  <c r="ML43" i="17"/>
  <c r="MP43" i="17" s="1"/>
  <c r="GG55" i="17"/>
  <c r="GK55" i="17" s="1"/>
  <c r="KH55" i="17"/>
  <c r="KO55" i="17" s="1"/>
  <c r="ML55" i="17"/>
  <c r="MP55" i="17" s="1"/>
  <c r="IF55" i="17"/>
  <c r="IM55" i="17" s="1"/>
  <c r="AN57" i="17"/>
  <c r="AN58" i="17"/>
  <c r="AN59" i="17"/>
  <c r="AN63" i="17"/>
  <c r="AN65" i="17"/>
  <c r="AN61" i="17"/>
  <c r="AN62" i="17"/>
  <c r="AN74" i="17"/>
  <c r="AN60" i="17"/>
  <c r="AN69" i="17"/>
  <c r="AN70" i="17"/>
  <c r="AN72" i="17"/>
  <c r="AN64" i="17"/>
  <c r="AN66" i="17"/>
  <c r="AN67" i="17"/>
  <c r="AN68" i="17"/>
  <c r="AN71" i="17"/>
  <c r="AN73" i="17"/>
  <c r="AL65" i="17"/>
  <c r="AI65" i="17" s="1"/>
  <c r="CB59" i="17"/>
  <c r="CB61" i="17"/>
  <c r="CB64" i="17"/>
  <c r="CB70" i="17"/>
  <c r="CB73" i="17"/>
  <c r="CB74" i="17"/>
  <c r="CB72" i="17"/>
  <c r="CB67" i="17"/>
  <c r="CB60" i="17"/>
  <c r="CB68" i="17"/>
  <c r="CB69" i="17"/>
  <c r="CB58" i="17"/>
  <c r="CB63" i="17"/>
  <c r="CB65" i="17"/>
  <c r="CB71" i="17"/>
  <c r="CB62" i="17"/>
  <c r="CB66" i="17"/>
  <c r="MD44" i="17"/>
  <c r="LY45" i="17"/>
  <c r="BV16" i="17"/>
  <c r="BO18" i="17" s="1"/>
  <c r="LZ45" i="17"/>
  <c r="MA44" i="17"/>
  <c r="MB44" i="17"/>
  <c r="JW45" i="17"/>
  <c r="KB45" i="17" s="1"/>
  <c r="JZ44" i="17"/>
  <c r="JY44" i="17"/>
  <c r="JX45" i="17"/>
  <c r="FW42" i="17"/>
  <c r="FT43" i="17"/>
  <c r="FY43" i="17" s="1"/>
  <c r="FU43" i="17"/>
  <c r="FV42" i="17"/>
  <c r="CB42" i="17"/>
  <c r="CE28" i="17"/>
  <c r="AN16" i="17"/>
  <c r="AN18" i="17"/>
  <c r="AM24" i="17" s="1"/>
  <c r="AJ24" i="17" s="1"/>
  <c r="CF42" i="17"/>
  <c r="CD38" i="17"/>
  <c r="CH38" i="17"/>
  <c r="CC28" i="17"/>
  <c r="CG28" i="17"/>
  <c r="C52" i="16"/>
  <c r="C53" i="16" s="1"/>
  <c r="CI28" i="17"/>
  <c r="AL57" i="17"/>
  <c r="AL39" i="17"/>
  <c r="AL26" i="17"/>
  <c r="CC56" i="17"/>
  <c r="CC57" i="17"/>
  <c r="CC55" i="17"/>
  <c r="CC53" i="17"/>
  <c r="CC51" i="17"/>
  <c r="CC54" i="17"/>
  <c r="CC52" i="17"/>
  <c r="CC50" i="17"/>
  <c r="CC49" i="17"/>
  <c r="CC47" i="17"/>
  <c r="CC45" i="17"/>
  <c r="CC43" i="17"/>
  <c r="CC48" i="17"/>
  <c r="CC46" i="17"/>
  <c r="CC44" i="17"/>
  <c r="CC42" i="17"/>
  <c r="CC40" i="17"/>
  <c r="CE56" i="17"/>
  <c r="CE57" i="17"/>
  <c r="CE55" i="17"/>
  <c r="CE53" i="17"/>
  <c r="CE51" i="17"/>
  <c r="CE49" i="17"/>
  <c r="CE47" i="17"/>
  <c r="CE45" i="17"/>
  <c r="CE43" i="17"/>
  <c r="CE54" i="17"/>
  <c r="CE52" i="17"/>
  <c r="CE50" i="17"/>
  <c r="CE48" i="17"/>
  <c r="CE46" i="17"/>
  <c r="CE44" i="17"/>
  <c r="CE42" i="17"/>
  <c r="CE40" i="17"/>
  <c r="CG56" i="17"/>
  <c r="CG57" i="17"/>
  <c r="CG55" i="17"/>
  <c r="CG53" i="17"/>
  <c r="CG51" i="17"/>
  <c r="CG49" i="17"/>
  <c r="CG54" i="17"/>
  <c r="CG52" i="17"/>
  <c r="CG50" i="17"/>
  <c r="CG47" i="17"/>
  <c r="CG45" i="17"/>
  <c r="CG43" i="17"/>
  <c r="CG48" i="17"/>
  <c r="CG46" i="17"/>
  <c r="CG44" i="17"/>
  <c r="CG42" i="17"/>
  <c r="CG40" i="17"/>
  <c r="CI56" i="17"/>
  <c r="CI57" i="17"/>
  <c r="CI55" i="17"/>
  <c r="CI53" i="17"/>
  <c r="CI51" i="17"/>
  <c r="CI49" i="17"/>
  <c r="CI47" i="17"/>
  <c r="CI45" i="17"/>
  <c r="CI43" i="17"/>
  <c r="CI54" i="17"/>
  <c r="CI52" i="17"/>
  <c r="CI50" i="17"/>
  <c r="CI48" i="17"/>
  <c r="CI46" i="17"/>
  <c r="CI44" i="17"/>
  <c r="CI42" i="17"/>
  <c r="CI40" i="17"/>
  <c r="CC24" i="17"/>
  <c r="CE24" i="17"/>
  <c r="CG24" i="17"/>
  <c r="CI24" i="17"/>
  <c r="CC25" i="17"/>
  <c r="CE25" i="17"/>
  <c r="CG25" i="17"/>
  <c r="CI25" i="17"/>
  <c r="CB26" i="17"/>
  <c r="CD26" i="17"/>
  <c r="CF26" i="17"/>
  <c r="CH26" i="17"/>
  <c r="CC27" i="17"/>
  <c r="CE27" i="17"/>
  <c r="CG27" i="17"/>
  <c r="CI27" i="17"/>
  <c r="CB28" i="17"/>
  <c r="CD28" i="17"/>
  <c r="CF28" i="17"/>
  <c r="CH28" i="17"/>
  <c r="CC29" i="17"/>
  <c r="CE29" i="17"/>
  <c r="CG29" i="17"/>
  <c r="CI29" i="17"/>
  <c r="CB30" i="17"/>
  <c r="CD30" i="17"/>
  <c r="CF30" i="17"/>
  <c r="CH30" i="17"/>
  <c r="CC31" i="17"/>
  <c r="CE31" i="17"/>
  <c r="CG31" i="17"/>
  <c r="CI31" i="17"/>
  <c r="CB32" i="17"/>
  <c r="CD32" i="17"/>
  <c r="CF32" i="17"/>
  <c r="CH32" i="17"/>
  <c r="CC33" i="17"/>
  <c r="CE33" i="17"/>
  <c r="CG33" i="17"/>
  <c r="CI33" i="17"/>
  <c r="CB34" i="17"/>
  <c r="CD34" i="17"/>
  <c r="CF34" i="17"/>
  <c r="CH34" i="17"/>
  <c r="CC35" i="17"/>
  <c r="CE35" i="17"/>
  <c r="CG35" i="17"/>
  <c r="CI35" i="17"/>
  <c r="CB36" i="17"/>
  <c r="CD36" i="17"/>
  <c r="CF36" i="17"/>
  <c r="CH36" i="17"/>
  <c r="CC37" i="17"/>
  <c r="CE37" i="17"/>
  <c r="CG37" i="17"/>
  <c r="CI37" i="17"/>
  <c r="CB38" i="17"/>
  <c r="CF38" i="17"/>
  <c r="CE39" i="17"/>
  <c r="CI39" i="17"/>
  <c r="CB40" i="17"/>
  <c r="CF40" i="17"/>
  <c r="CE41" i="17"/>
  <c r="CI41" i="17"/>
  <c r="CB57" i="17"/>
  <c r="CB56" i="17"/>
  <c r="CB54" i="17"/>
  <c r="CB52" i="17"/>
  <c r="CB50" i="17"/>
  <c r="CB48" i="17"/>
  <c r="CB46" i="17"/>
  <c r="CB44" i="17"/>
  <c r="CB55" i="17"/>
  <c r="CB53" i="17"/>
  <c r="CB51" i="17"/>
  <c r="CB49" i="17"/>
  <c r="CB47" i="17"/>
  <c r="CB45" i="17"/>
  <c r="CB43" i="17"/>
  <c r="CB41" i="17"/>
  <c r="CB39" i="17"/>
  <c r="CD57" i="17"/>
  <c r="CD56" i="17"/>
  <c r="CD54" i="17"/>
  <c r="CD52" i="17"/>
  <c r="CD50" i="17"/>
  <c r="CD55" i="17"/>
  <c r="CD53" i="17"/>
  <c r="CD51" i="17"/>
  <c r="CD48" i="17"/>
  <c r="CD46" i="17"/>
  <c r="CD44" i="17"/>
  <c r="CD49" i="17"/>
  <c r="CD47" i="17"/>
  <c r="CD45" i="17"/>
  <c r="CD43" i="17"/>
  <c r="CD41" i="17"/>
  <c r="CD39" i="17"/>
  <c r="CF57" i="17"/>
  <c r="CF56" i="17"/>
  <c r="CF54" i="17"/>
  <c r="CF52" i="17"/>
  <c r="CF50" i="17"/>
  <c r="CF48" i="17"/>
  <c r="CF46" i="17"/>
  <c r="CF44" i="17"/>
  <c r="CF55" i="17"/>
  <c r="CF53" i="17"/>
  <c r="CF51" i="17"/>
  <c r="CF49" i="17"/>
  <c r="CF47" i="17"/>
  <c r="CF45" i="17"/>
  <c r="CF43" i="17"/>
  <c r="CF41" i="17"/>
  <c r="CF39" i="17"/>
  <c r="CH57" i="17"/>
  <c r="CH56" i="17"/>
  <c r="CH54" i="17"/>
  <c r="CH52" i="17"/>
  <c r="CH50" i="17"/>
  <c r="CH55" i="17"/>
  <c r="CH53" i="17"/>
  <c r="CH51" i="17"/>
  <c r="CH49" i="17"/>
  <c r="CH48" i="17"/>
  <c r="CH46" i="17"/>
  <c r="CH44" i="17"/>
  <c r="CH47" i="17"/>
  <c r="CH45" i="17"/>
  <c r="CH43" i="17"/>
  <c r="CH41" i="17"/>
  <c r="CH39" i="17"/>
  <c r="CB24" i="17"/>
  <c r="CD24" i="17"/>
  <c r="CF24" i="17"/>
  <c r="CH24" i="17"/>
  <c r="CB25" i="17"/>
  <c r="CD25" i="17"/>
  <c r="CF25" i="17"/>
  <c r="CH25" i="17"/>
  <c r="CC26" i="17"/>
  <c r="CE26" i="17"/>
  <c r="CG26" i="17"/>
  <c r="CI26" i="17"/>
  <c r="CB27" i="17"/>
  <c r="CD27" i="17"/>
  <c r="CF27" i="17"/>
  <c r="CH27" i="17"/>
  <c r="CB29" i="17"/>
  <c r="CD29" i="17"/>
  <c r="CF29" i="17"/>
  <c r="CH29" i="17"/>
  <c r="CC30" i="17"/>
  <c r="CE30" i="17"/>
  <c r="CG30" i="17"/>
  <c r="CI30" i="17"/>
  <c r="CB31" i="17"/>
  <c r="CD31" i="17"/>
  <c r="CF31" i="17"/>
  <c r="CH31" i="17"/>
  <c r="CC32" i="17"/>
  <c r="CE32" i="17"/>
  <c r="CG32" i="17"/>
  <c r="CI32" i="17"/>
  <c r="CB33" i="17"/>
  <c r="CD33" i="17"/>
  <c r="CF33" i="17"/>
  <c r="CH33" i="17"/>
  <c r="CC34" i="17"/>
  <c r="CE34" i="17"/>
  <c r="CG34" i="17"/>
  <c r="CI34" i="17"/>
  <c r="CB35" i="17"/>
  <c r="CD35" i="17"/>
  <c r="CF35" i="17"/>
  <c r="CH35" i="17"/>
  <c r="CC36" i="17"/>
  <c r="CE36" i="17"/>
  <c r="CG36" i="17"/>
  <c r="CI36" i="17"/>
  <c r="CB37" i="17"/>
  <c r="CD37" i="17"/>
  <c r="CF37" i="17"/>
  <c r="CH37" i="17"/>
  <c r="CC38" i="17"/>
  <c r="CE38" i="17"/>
  <c r="CG38" i="17"/>
  <c r="CI38" i="17"/>
  <c r="CC39" i="17"/>
  <c r="CG39" i="17"/>
  <c r="CD40" i="17"/>
  <c r="CH40" i="17"/>
  <c r="CC41" i="17"/>
  <c r="CG41" i="17"/>
  <c r="CD42" i="17"/>
  <c r="CH42" i="17"/>
  <c r="AN25" i="17"/>
  <c r="AN26" i="17"/>
  <c r="AN27" i="17"/>
  <c r="AN28" i="17"/>
  <c r="AN29" i="17"/>
  <c r="AN30" i="17"/>
  <c r="AN31" i="17"/>
  <c r="AN32" i="17"/>
  <c r="AN33" i="17"/>
  <c r="AN34" i="17"/>
  <c r="AN35" i="17"/>
  <c r="AN36" i="17"/>
  <c r="AN37" i="17"/>
  <c r="AN38" i="17"/>
  <c r="AN39" i="17"/>
  <c r="AN40" i="17"/>
  <c r="AN41" i="17"/>
  <c r="AN42" i="17"/>
  <c r="AN43" i="17"/>
  <c r="AN44" i="17"/>
  <c r="AN45" i="17"/>
  <c r="AN46" i="17"/>
  <c r="AN47" i="17"/>
  <c r="AN48" i="17"/>
  <c r="AN49" i="17"/>
  <c r="AN50" i="17"/>
  <c r="AN51" i="17"/>
  <c r="AN52" i="17"/>
  <c r="AN53" i="17"/>
  <c r="AN54" i="17"/>
  <c r="AN55" i="17"/>
  <c r="AN56" i="17"/>
  <c r="AH8" i="16"/>
  <c r="AM11" i="16"/>
  <c r="AN5" i="16"/>
  <c r="AL27" i="17" l="1"/>
  <c r="BO27" i="17" s="1"/>
  <c r="AL48" i="17"/>
  <c r="BO48" i="17" s="1"/>
  <c r="AL71" i="17"/>
  <c r="AI71" i="17" s="1"/>
  <c r="AL30" i="17"/>
  <c r="AI30" i="17" s="1"/>
  <c r="AL43" i="17"/>
  <c r="AI43" i="17" s="1"/>
  <c r="AL74" i="17"/>
  <c r="AI74" i="17" s="1"/>
  <c r="AL31" i="17"/>
  <c r="BO31" i="17" s="1"/>
  <c r="AL53" i="17"/>
  <c r="BO53" i="17" s="1"/>
  <c r="AL70" i="17"/>
  <c r="AI70" i="17" s="1"/>
  <c r="HX45" i="17"/>
  <c r="AL34" i="17"/>
  <c r="AI34" i="17" s="1"/>
  <c r="AL35" i="17"/>
  <c r="BO35" i="17" s="1"/>
  <c r="AL47" i="17"/>
  <c r="BO47" i="17" s="1"/>
  <c r="AL50" i="17"/>
  <c r="BO50" i="17" s="1"/>
  <c r="AL67" i="17"/>
  <c r="AI67" i="17" s="1"/>
  <c r="AL69" i="17"/>
  <c r="AI69" i="17" s="1"/>
  <c r="AL38" i="17"/>
  <c r="BO38" i="17" s="1"/>
  <c r="AL40" i="17"/>
  <c r="AI40" i="17" s="1"/>
  <c r="AL44" i="17"/>
  <c r="AI44" i="17" s="1"/>
  <c r="AL54" i="17"/>
  <c r="AI54" i="17" s="1"/>
  <c r="AL64" i="17"/>
  <c r="AI64" i="17" s="1"/>
  <c r="AL61" i="17"/>
  <c r="AI61" i="17" s="1"/>
  <c r="AP24" i="17"/>
  <c r="AQ24" i="17" s="1"/>
  <c r="AL28" i="17"/>
  <c r="BO28" i="17" s="1"/>
  <c r="AL36" i="17"/>
  <c r="BO36" i="17" s="1"/>
  <c r="AL29" i="17"/>
  <c r="BO29" i="17" s="1"/>
  <c r="AL37" i="17"/>
  <c r="BO37" i="17" s="1"/>
  <c r="AL41" i="17"/>
  <c r="BO41" i="17" s="1"/>
  <c r="AL49" i="17"/>
  <c r="BO49" i="17" s="1"/>
  <c r="AL51" i="17"/>
  <c r="BO51" i="17" s="1"/>
  <c r="AL52" i="17"/>
  <c r="BO52" i="17" s="1"/>
  <c r="AL72" i="17"/>
  <c r="AI72" i="17" s="1"/>
  <c r="AL66" i="17"/>
  <c r="AI66" i="17" s="1"/>
  <c r="AL73" i="17"/>
  <c r="AI73" i="17" s="1"/>
  <c r="AL62" i="17"/>
  <c r="AI62" i="17" s="1"/>
  <c r="AL63" i="17"/>
  <c r="AI63" i="17" s="1"/>
  <c r="AL32" i="17"/>
  <c r="BO32" i="17" s="1"/>
  <c r="AL25" i="17"/>
  <c r="BO25" i="17" s="1"/>
  <c r="AL33" i="17"/>
  <c r="AI33" i="17" s="1"/>
  <c r="AL42" i="17"/>
  <c r="BO42" i="17" s="1"/>
  <c r="AL45" i="17"/>
  <c r="BO45" i="17" s="1"/>
  <c r="AL46" i="17"/>
  <c r="BO46" i="17" s="1"/>
  <c r="AL55" i="17"/>
  <c r="BO55" i="17" s="1"/>
  <c r="AL56" i="17"/>
  <c r="BO56" i="17" s="1"/>
  <c r="AL68" i="17"/>
  <c r="AI68" i="17" s="1"/>
  <c r="AL60" i="17"/>
  <c r="AI60" i="17" s="1"/>
  <c r="AL58" i="17"/>
  <c r="AI58" i="17" s="1"/>
  <c r="AL59" i="17"/>
  <c r="AI59" i="17" s="1"/>
  <c r="HU46" i="17"/>
  <c r="HZ46" i="17" s="1"/>
  <c r="GC21" i="17"/>
  <c r="GI17" i="17" s="1"/>
  <c r="BP12" i="17"/>
  <c r="HW45" i="17"/>
  <c r="CJ66" i="17"/>
  <c r="CK66" i="17" s="1"/>
  <c r="CJ63" i="17"/>
  <c r="CK63" i="17" s="1"/>
  <c r="CJ60" i="17"/>
  <c r="CK60" i="17" s="1"/>
  <c r="CJ73" i="17"/>
  <c r="CN73" i="17" s="1"/>
  <c r="CJ59" i="17"/>
  <c r="CK59" i="17" s="1"/>
  <c r="CJ71" i="17"/>
  <c r="CN71" i="17" s="1"/>
  <c r="CJ69" i="17"/>
  <c r="CN69" i="17" s="1"/>
  <c r="CJ72" i="17"/>
  <c r="CK72" i="17" s="1"/>
  <c r="CJ64" i="17"/>
  <c r="CK64" i="17" s="1"/>
  <c r="CJ24" i="17"/>
  <c r="CJ62" i="17"/>
  <c r="CK62" i="17" s="1"/>
  <c r="CJ58" i="17"/>
  <c r="CK58" i="17" s="1"/>
  <c r="CJ67" i="17"/>
  <c r="CK67" i="17" s="1"/>
  <c r="CJ70" i="17"/>
  <c r="CK70" i="17" s="1"/>
  <c r="CJ65" i="17"/>
  <c r="CK65" i="17" s="1"/>
  <c r="CJ68" i="17"/>
  <c r="CK68" i="17" s="1"/>
  <c r="CJ74" i="17"/>
  <c r="CK74" i="17" s="1"/>
  <c r="CJ61" i="17"/>
  <c r="CK61" i="17" s="1"/>
  <c r="BO26" i="17"/>
  <c r="AI26" i="17"/>
  <c r="BO39" i="17"/>
  <c r="AI39" i="17"/>
  <c r="BO57" i="17"/>
  <c r="AI57" i="17"/>
  <c r="BO24" i="17"/>
  <c r="KK19" i="17"/>
  <c r="KO24" i="17"/>
  <c r="MI55" i="17"/>
  <c r="MR55" i="17" s="1"/>
  <c r="MI27" i="17"/>
  <c r="MI65" i="17"/>
  <c r="MR65" i="17" s="1"/>
  <c r="IE52" i="17"/>
  <c r="IO52" i="17" s="1"/>
  <c r="KG40" i="17"/>
  <c r="KQ40" i="17" s="1"/>
  <c r="MI57" i="17"/>
  <c r="MR57" i="17" s="1"/>
  <c r="GD41" i="17"/>
  <c r="GM41" i="17" s="1"/>
  <c r="HP41" i="17" s="1"/>
  <c r="MI33" i="17"/>
  <c r="MI72" i="17"/>
  <c r="MR72" i="17" s="1"/>
  <c r="GD68" i="17"/>
  <c r="GM68" i="17" s="1"/>
  <c r="MI64" i="17"/>
  <c r="MR64" i="17" s="1"/>
  <c r="IE60" i="17"/>
  <c r="IO60" i="17" s="1"/>
  <c r="GD54" i="17"/>
  <c r="GM54" i="17" s="1"/>
  <c r="HP54" i="17" s="1"/>
  <c r="GD46" i="17"/>
  <c r="GD42" i="17"/>
  <c r="GM42" i="17" s="1"/>
  <c r="HP42" i="17" s="1"/>
  <c r="GD34" i="17"/>
  <c r="GX34" i="17" s="1"/>
  <c r="GZ34" i="17" s="1"/>
  <c r="GD26" i="17"/>
  <c r="GM26" i="17" s="1"/>
  <c r="HP26" i="17" s="1"/>
  <c r="IE51" i="17"/>
  <c r="IO51" i="17" s="1"/>
  <c r="MI47" i="17"/>
  <c r="MR47" i="17" s="1"/>
  <c r="KG35" i="17"/>
  <c r="KQ35" i="17" s="1"/>
  <c r="GD31" i="17"/>
  <c r="GM31" i="17" s="1"/>
  <c r="HP31" i="17" s="1"/>
  <c r="GD73" i="17"/>
  <c r="GM73" i="17" s="1"/>
  <c r="KG67" i="17"/>
  <c r="KQ67" i="17" s="1"/>
  <c r="IE63" i="17"/>
  <c r="IO63" i="17" s="1"/>
  <c r="KG59" i="17"/>
  <c r="KQ59" i="17" s="1"/>
  <c r="KG56" i="17"/>
  <c r="KQ56" i="17" s="1"/>
  <c r="KG48" i="17"/>
  <c r="KQ48" i="17" s="1"/>
  <c r="KG36" i="17"/>
  <c r="KQ36" i="17" s="1"/>
  <c r="KG32" i="17"/>
  <c r="KQ32" i="17" s="1"/>
  <c r="MI25" i="17"/>
  <c r="MI53" i="17"/>
  <c r="MR53" i="17" s="1"/>
  <c r="GD49" i="17"/>
  <c r="MI29" i="17"/>
  <c r="GD43" i="17"/>
  <c r="KG69" i="17"/>
  <c r="KQ69" i="17" s="1"/>
  <c r="MI61" i="17"/>
  <c r="MR61" i="17" s="1"/>
  <c r="MI40" i="17"/>
  <c r="GD57" i="17"/>
  <c r="IE41" i="17"/>
  <c r="IO41" i="17" s="1"/>
  <c r="GD33" i="17"/>
  <c r="GX33" i="17" s="1"/>
  <c r="GZ33" i="17" s="1"/>
  <c r="GD72" i="17"/>
  <c r="GM72" i="17" s="1"/>
  <c r="KG68" i="17"/>
  <c r="KQ68" i="17" s="1"/>
  <c r="MI66" i="17"/>
  <c r="MR66" i="17" s="1"/>
  <c r="MI62" i="17"/>
  <c r="MR62" i="17" s="1"/>
  <c r="KG60" i="17"/>
  <c r="KQ60" i="17" s="1"/>
  <c r="IE54" i="17"/>
  <c r="IO54" i="17" s="1"/>
  <c r="IE50" i="17"/>
  <c r="IO50" i="17" s="1"/>
  <c r="IE42" i="17"/>
  <c r="IO42" i="17" s="1"/>
  <c r="IE38" i="17"/>
  <c r="IO38" i="17" s="1"/>
  <c r="IE34" i="17"/>
  <c r="IO34" i="17" s="1"/>
  <c r="IE30" i="17"/>
  <c r="IO30" i="17" s="1"/>
  <c r="MI24" i="17"/>
  <c r="MI51" i="17"/>
  <c r="MR51" i="17" s="1"/>
  <c r="KG47" i="17"/>
  <c r="KQ47" i="17" s="1"/>
  <c r="MI39" i="17"/>
  <c r="GD35" i="17"/>
  <c r="GX35" i="17" s="1"/>
  <c r="GZ35" i="17" s="1"/>
  <c r="MI31" i="17"/>
  <c r="MI73" i="17"/>
  <c r="MR73" i="17" s="1"/>
  <c r="KG71" i="17"/>
  <c r="KQ71" i="17" s="1"/>
  <c r="IE67" i="17"/>
  <c r="IO67" i="17" s="1"/>
  <c r="KG63" i="17"/>
  <c r="KQ63" i="17" s="1"/>
  <c r="MI59" i="17"/>
  <c r="MR59" i="17" s="1"/>
  <c r="MI56" i="17"/>
  <c r="MR56" i="17" s="1"/>
  <c r="MI48" i="17"/>
  <c r="MR48" i="17" s="1"/>
  <c r="IE36" i="17"/>
  <c r="IO36" i="17" s="1"/>
  <c r="MI32" i="17"/>
  <c r="IE25" i="17"/>
  <c r="IO25" i="17" s="1"/>
  <c r="IE53" i="17"/>
  <c r="IO53" i="17" s="1"/>
  <c r="IE49" i="17"/>
  <c r="IO49" i="17" s="1"/>
  <c r="IE29" i="17"/>
  <c r="IO29" i="17" s="1"/>
  <c r="IE55" i="17"/>
  <c r="IO55" i="17" s="1"/>
  <c r="MI43" i="17"/>
  <c r="IE27" i="17"/>
  <c r="IO27" i="17" s="1"/>
  <c r="GD69" i="17"/>
  <c r="GM69" i="17" s="1"/>
  <c r="IE65" i="17"/>
  <c r="IO65" i="17" s="1"/>
  <c r="IE61" i="17"/>
  <c r="IO61" i="17" s="1"/>
  <c r="KG52" i="17"/>
  <c r="KQ52" i="17" s="1"/>
  <c r="KG44" i="17"/>
  <c r="KQ44" i="17" s="1"/>
  <c r="IE40" i="17"/>
  <c r="IO40" i="17" s="1"/>
  <c r="MI28" i="17"/>
  <c r="IE57" i="17"/>
  <c r="IO57" i="17" s="1"/>
  <c r="GD45" i="17"/>
  <c r="MI41" i="17"/>
  <c r="IE33" i="17"/>
  <c r="IO33" i="17" s="1"/>
  <c r="MI74" i="17"/>
  <c r="MR74" i="17" s="1"/>
  <c r="IE72" i="17"/>
  <c r="IO72" i="17" s="1"/>
  <c r="MI70" i="17"/>
  <c r="MR70" i="17" s="1"/>
  <c r="MI68" i="17"/>
  <c r="MR68" i="17" s="1"/>
  <c r="GD66" i="17"/>
  <c r="GM66" i="17" s="1"/>
  <c r="KG64" i="17"/>
  <c r="KQ64" i="17" s="1"/>
  <c r="KG62" i="17"/>
  <c r="KQ62" i="17" s="1"/>
  <c r="MI60" i="17"/>
  <c r="MR60" i="17" s="1"/>
  <c r="IE58" i="17"/>
  <c r="IO58" i="17" s="1"/>
  <c r="KG54" i="17"/>
  <c r="KQ54" i="17" s="1"/>
  <c r="KG50" i="17"/>
  <c r="KQ50" i="17" s="1"/>
  <c r="KG46" i="17"/>
  <c r="KQ46" i="17" s="1"/>
  <c r="KG42" i="17"/>
  <c r="KQ42" i="17" s="1"/>
  <c r="KG38" i="17"/>
  <c r="KQ38" i="17" s="1"/>
  <c r="KG34" i="17"/>
  <c r="KQ34" i="17" s="1"/>
  <c r="KG30" i="17"/>
  <c r="KQ30" i="17" s="1"/>
  <c r="KG26" i="17"/>
  <c r="KQ26" i="17" s="1"/>
  <c r="IE24" i="17"/>
  <c r="IO24" i="17" s="1"/>
  <c r="GD51" i="17"/>
  <c r="GM51" i="17" s="1"/>
  <c r="HP51" i="17" s="1"/>
  <c r="IE47" i="17"/>
  <c r="IO47" i="17" s="1"/>
  <c r="IE39" i="17"/>
  <c r="IO39" i="17" s="1"/>
  <c r="MI35" i="17"/>
  <c r="IE31" i="17"/>
  <c r="IO31" i="17" s="1"/>
  <c r="IE73" i="17"/>
  <c r="IO73" i="17" s="1"/>
  <c r="MI71" i="17"/>
  <c r="MR71" i="17" s="1"/>
  <c r="MI67" i="17"/>
  <c r="MR67" i="17" s="1"/>
  <c r="MI63" i="17"/>
  <c r="MR63" i="17" s="1"/>
  <c r="IE59" i="17"/>
  <c r="IO59" i="17" s="1"/>
  <c r="IE56" i="17"/>
  <c r="IO56" i="17" s="1"/>
  <c r="IE48" i="17"/>
  <c r="IO48" i="17" s="1"/>
  <c r="MI36" i="17"/>
  <c r="IE32" i="17"/>
  <c r="IO32" i="17" s="1"/>
  <c r="GD25" i="17"/>
  <c r="GX25" i="17" s="1"/>
  <c r="GZ25" i="17" s="1"/>
  <c r="GD53" i="17"/>
  <c r="MI49" i="17"/>
  <c r="MR49" i="17" s="1"/>
  <c r="GD37" i="17"/>
  <c r="GX37" i="17" s="1"/>
  <c r="GZ37" i="17" s="1"/>
  <c r="GD29" i="17"/>
  <c r="GX29" i="17" s="1"/>
  <c r="GZ29" i="17" s="1"/>
  <c r="KG43" i="17"/>
  <c r="KQ43" i="17" s="1"/>
  <c r="MI69" i="17"/>
  <c r="MR69" i="17" s="1"/>
  <c r="KG61" i="17"/>
  <c r="KQ61" i="17" s="1"/>
  <c r="IE44" i="17"/>
  <c r="IO44" i="17" s="1"/>
  <c r="KG28" i="17"/>
  <c r="KQ28" i="17" s="1"/>
  <c r="IE45" i="17"/>
  <c r="IO45" i="17" s="1"/>
  <c r="GD74" i="17"/>
  <c r="GM74" i="17" s="1"/>
  <c r="GD70" i="17"/>
  <c r="GM70" i="17" s="1"/>
  <c r="KG66" i="17"/>
  <c r="KQ66" i="17" s="1"/>
  <c r="IE62" i="17"/>
  <c r="IO62" i="17" s="1"/>
  <c r="KG58" i="17"/>
  <c r="KQ58" i="17" s="1"/>
  <c r="GD50" i="17"/>
  <c r="GM50" i="17" s="1"/>
  <c r="HP50" i="17" s="1"/>
  <c r="GD38" i="17"/>
  <c r="GX38" i="17" s="1"/>
  <c r="GZ38" i="17" s="1"/>
  <c r="GD30" i="17"/>
  <c r="GM30" i="17" s="1"/>
  <c r="HP30" i="17" s="1"/>
  <c r="KG24" i="17"/>
  <c r="KQ24" i="17" s="1"/>
  <c r="GD39" i="17"/>
  <c r="GM39" i="17" s="1"/>
  <c r="HP39" i="17" s="1"/>
  <c r="GD71" i="17"/>
  <c r="GM71" i="17" s="1"/>
  <c r="MI37" i="17"/>
  <c r="KG55" i="17"/>
  <c r="KQ55" i="17" s="1"/>
  <c r="KG27" i="17"/>
  <c r="KQ27" i="17" s="1"/>
  <c r="GD65" i="17"/>
  <c r="GM65" i="17" s="1"/>
  <c r="MI52" i="17"/>
  <c r="MR52" i="17" s="1"/>
  <c r="MI44" i="17"/>
  <c r="MR44" i="17" s="1"/>
  <c r="IE28" i="17"/>
  <c r="IO28" i="17" s="1"/>
  <c r="MI45" i="17"/>
  <c r="MR45" i="17" s="1"/>
  <c r="KG74" i="17"/>
  <c r="KQ74" i="17" s="1"/>
  <c r="KG70" i="17"/>
  <c r="KQ70" i="17" s="1"/>
  <c r="IE64" i="17"/>
  <c r="IO64" i="17" s="1"/>
  <c r="MI58" i="17"/>
  <c r="MR58" i="17" s="1"/>
  <c r="IE46" i="17"/>
  <c r="IO46" i="17" s="1"/>
  <c r="IE26" i="17"/>
  <c r="IO26" i="17" s="1"/>
  <c r="IE37" i="17"/>
  <c r="IO37" i="17" s="1"/>
  <c r="GD55" i="17"/>
  <c r="IE43" i="17"/>
  <c r="IO43" i="17" s="1"/>
  <c r="GD27" i="17"/>
  <c r="GX27" i="17" s="1"/>
  <c r="GZ27" i="17" s="1"/>
  <c r="IE69" i="17"/>
  <c r="IO69" i="17" s="1"/>
  <c r="KG65" i="17"/>
  <c r="KQ65" i="17" s="1"/>
  <c r="GD61" i="17"/>
  <c r="GM61" i="17" s="1"/>
  <c r="GD52" i="17"/>
  <c r="GD44" i="17"/>
  <c r="GM44" i="17" s="1"/>
  <c r="HP44" i="17" s="1"/>
  <c r="GD40" i="17"/>
  <c r="GX40" i="17" s="1"/>
  <c r="GZ40" i="17" s="1"/>
  <c r="GD28" i="17"/>
  <c r="GM28" i="17" s="1"/>
  <c r="HP28" i="17" s="1"/>
  <c r="KG57" i="17"/>
  <c r="KQ57" i="17" s="1"/>
  <c r="KG45" i="17"/>
  <c r="KQ45" i="17" s="1"/>
  <c r="KG41" i="17"/>
  <c r="KQ41" i="17" s="1"/>
  <c r="KG33" i="17"/>
  <c r="KQ33" i="17" s="1"/>
  <c r="IE74" i="17"/>
  <c r="IO74" i="17" s="1"/>
  <c r="KG72" i="17"/>
  <c r="KQ72" i="17" s="1"/>
  <c r="IE70" i="17"/>
  <c r="IO70" i="17" s="1"/>
  <c r="IE68" i="17"/>
  <c r="IO68" i="17" s="1"/>
  <c r="IE66" i="17"/>
  <c r="IO66" i="17" s="1"/>
  <c r="GD64" i="17"/>
  <c r="GM64" i="17" s="1"/>
  <c r="GD62" i="17"/>
  <c r="GM62" i="17" s="1"/>
  <c r="GD60" i="17"/>
  <c r="GM60" i="17" s="1"/>
  <c r="GD58" i="17"/>
  <c r="GM58" i="17" s="1"/>
  <c r="MI54" i="17"/>
  <c r="MR54" i="17" s="1"/>
  <c r="MI50" i="17"/>
  <c r="MR50" i="17" s="1"/>
  <c r="MI46" i="17"/>
  <c r="MR46" i="17" s="1"/>
  <c r="MI42" i="17"/>
  <c r="MI38" i="17"/>
  <c r="MI34" i="17"/>
  <c r="MI30" i="17"/>
  <c r="MI26" i="17"/>
  <c r="GD24" i="17"/>
  <c r="GM24" i="17" s="1"/>
  <c r="KG51" i="17"/>
  <c r="KQ51" i="17" s="1"/>
  <c r="GD47" i="17"/>
  <c r="KG39" i="17"/>
  <c r="KQ39" i="17" s="1"/>
  <c r="IE35" i="17"/>
  <c r="IO35" i="17" s="1"/>
  <c r="KG31" i="17"/>
  <c r="KQ31" i="17" s="1"/>
  <c r="KG73" i="17"/>
  <c r="KQ73" i="17" s="1"/>
  <c r="IE71" i="17"/>
  <c r="IO71" i="17" s="1"/>
  <c r="GD67" i="17"/>
  <c r="GM67" i="17" s="1"/>
  <c r="GD63" i="17"/>
  <c r="GM63" i="17" s="1"/>
  <c r="GD59" i="17"/>
  <c r="GM59" i="17" s="1"/>
  <c r="GD56" i="17"/>
  <c r="GD48" i="17"/>
  <c r="GD36" i="17"/>
  <c r="GX36" i="17" s="1"/>
  <c r="GZ36" i="17" s="1"/>
  <c r="GD32" i="17"/>
  <c r="GX32" i="17" s="1"/>
  <c r="GZ32" i="17" s="1"/>
  <c r="KG25" i="17"/>
  <c r="KQ25" i="17" s="1"/>
  <c r="KG53" i="17"/>
  <c r="KQ53" i="17" s="1"/>
  <c r="KG49" i="17"/>
  <c r="KQ49" i="17" s="1"/>
  <c r="KG37" i="17"/>
  <c r="KQ37" i="17" s="1"/>
  <c r="KG29" i="17"/>
  <c r="KQ29" i="17" s="1"/>
  <c r="AK50" i="17"/>
  <c r="BQ50" i="17"/>
  <c r="AK42" i="17"/>
  <c r="BQ42" i="17"/>
  <c r="AK34" i="17"/>
  <c r="BQ34" i="17"/>
  <c r="AK26" i="17"/>
  <c r="BQ26" i="17"/>
  <c r="AK67" i="17"/>
  <c r="BQ67" i="17"/>
  <c r="AK70" i="17"/>
  <c r="BQ70" i="17"/>
  <c r="AK59" i="17"/>
  <c r="BQ59" i="17"/>
  <c r="AK53" i="17"/>
  <c r="BQ53" i="17"/>
  <c r="AK41" i="17"/>
  <c r="BQ41" i="17"/>
  <c r="AK33" i="17"/>
  <c r="BQ33" i="17"/>
  <c r="AK25" i="17"/>
  <c r="BQ25" i="17"/>
  <c r="AK73" i="17"/>
  <c r="BQ73" i="17"/>
  <c r="AK66" i="17"/>
  <c r="BQ66" i="17"/>
  <c r="AK69" i="17"/>
  <c r="BQ69" i="17"/>
  <c r="AK58" i="17"/>
  <c r="BQ58" i="17"/>
  <c r="AK56" i="17"/>
  <c r="BQ56" i="17"/>
  <c r="AK52" i="17"/>
  <c r="BQ52" i="17"/>
  <c r="AK48" i="17"/>
  <c r="BQ48" i="17"/>
  <c r="AK44" i="17"/>
  <c r="BQ44" i="17"/>
  <c r="AK36" i="17"/>
  <c r="BQ36" i="17"/>
  <c r="AK32" i="17"/>
  <c r="BQ32" i="17"/>
  <c r="BQ24" i="17"/>
  <c r="AK55" i="17"/>
  <c r="BQ55" i="17"/>
  <c r="AK51" i="17"/>
  <c r="BQ51" i="17"/>
  <c r="AK47" i="17"/>
  <c r="BQ47" i="17"/>
  <c r="AK43" i="17"/>
  <c r="BQ43" i="17"/>
  <c r="AK39" i="17"/>
  <c r="BQ39" i="17"/>
  <c r="AK35" i="17"/>
  <c r="BQ35" i="17"/>
  <c r="AK31" i="17"/>
  <c r="BQ31" i="17"/>
  <c r="AK27" i="17"/>
  <c r="BQ27" i="17"/>
  <c r="AK68" i="17"/>
  <c r="BQ68" i="17"/>
  <c r="AK72" i="17"/>
  <c r="BQ72" i="17"/>
  <c r="AK74" i="17"/>
  <c r="BQ74" i="17"/>
  <c r="AK63" i="17"/>
  <c r="BQ63" i="17"/>
  <c r="AK54" i="17"/>
  <c r="BQ54" i="17"/>
  <c r="AK46" i="17"/>
  <c r="BQ46" i="17"/>
  <c r="AK38" i="17"/>
  <c r="BQ38" i="17"/>
  <c r="AK30" i="17"/>
  <c r="BQ30" i="17"/>
  <c r="AK62" i="17"/>
  <c r="BQ62" i="17"/>
  <c r="AK49" i="17"/>
  <c r="BQ49" i="17"/>
  <c r="AK45" i="17"/>
  <c r="BQ45" i="17"/>
  <c r="AK37" i="17"/>
  <c r="BQ37" i="17"/>
  <c r="AK29" i="17"/>
  <c r="BQ29" i="17"/>
  <c r="AK61" i="17"/>
  <c r="BQ61" i="17"/>
  <c r="AK40" i="17"/>
  <c r="BQ40" i="17"/>
  <c r="AK28" i="17"/>
  <c r="BQ28" i="17"/>
  <c r="AK71" i="17"/>
  <c r="BQ71" i="17"/>
  <c r="AK64" i="17"/>
  <c r="BQ64" i="17"/>
  <c r="AK60" i="17"/>
  <c r="BQ60" i="17"/>
  <c r="AK65" i="17"/>
  <c r="BQ65" i="17"/>
  <c r="AK57" i="17"/>
  <c r="BQ57" i="17"/>
  <c r="AM41" i="17"/>
  <c r="AM58" i="17"/>
  <c r="AM63" i="17"/>
  <c r="AM60" i="17"/>
  <c r="AM61" i="17"/>
  <c r="AM68" i="17"/>
  <c r="AM74" i="17"/>
  <c r="AM62" i="17"/>
  <c r="AM67" i="17"/>
  <c r="AM70" i="17"/>
  <c r="AM71" i="17"/>
  <c r="AM72" i="17"/>
  <c r="AM73" i="17"/>
  <c r="AM65" i="17"/>
  <c r="AM59" i="17"/>
  <c r="AM64" i="17"/>
  <c r="AM66" i="17"/>
  <c r="AM69" i="17"/>
  <c r="BO70" i="17"/>
  <c r="BO65" i="17"/>
  <c r="BO64" i="17"/>
  <c r="MD45" i="17"/>
  <c r="LY46" i="17"/>
  <c r="IR18" i="17"/>
  <c r="HY3" i="17" s="1"/>
  <c r="KT18" i="17"/>
  <c r="KA3" i="17" s="1"/>
  <c r="GP18" i="17"/>
  <c r="FX3" i="17" s="1"/>
  <c r="MU18" i="17"/>
  <c r="MC3" i="17" s="1"/>
  <c r="KF21" i="17"/>
  <c r="MH21" i="17"/>
  <c r="MN17" i="17" s="1"/>
  <c r="LZ46" i="17"/>
  <c r="MA45" i="17"/>
  <c r="MB45" i="17"/>
  <c r="JX46" i="17"/>
  <c r="JY45" i="17"/>
  <c r="JW46" i="17"/>
  <c r="KB46" i="17" s="1"/>
  <c r="JZ45" i="17"/>
  <c r="ID21" i="17"/>
  <c r="FU44" i="17"/>
  <c r="FV43" i="17"/>
  <c r="FW43" i="17"/>
  <c r="FT44" i="17"/>
  <c r="FY44" i="17" s="1"/>
  <c r="CJ27" i="17"/>
  <c r="CN27" i="17" s="1"/>
  <c r="CJ43" i="17"/>
  <c r="CJ54" i="17"/>
  <c r="CJ51" i="17"/>
  <c r="CJ46" i="17"/>
  <c r="CJ37" i="17"/>
  <c r="CJ33" i="17"/>
  <c r="CJ29" i="17"/>
  <c r="CJ25" i="17"/>
  <c r="CJ45" i="17"/>
  <c r="CJ48" i="17"/>
  <c r="CJ42" i="17"/>
  <c r="CJ39" i="17"/>
  <c r="CJ47" i="17"/>
  <c r="CJ55" i="17"/>
  <c r="CJ50" i="17"/>
  <c r="CJ57" i="17"/>
  <c r="CJ35" i="17"/>
  <c r="CJ31" i="17"/>
  <c r="CJ53" i="17"/>
  <c r="CJ56" i="17"/>
  <c r="CJ41" i="17"/>
  <c r="CJ49" i="17"/>
  <c r="CJ44" i="17"/>
  <c r="CJ52" i="17"/>
  <c r="CJ40" i="17"/>
  <c r="CJ38" i="17"/>
  <c r="CJ36" i="17"/>
  <c r="CJ34" i="17"/>
  <c r="CJ32" i="17"/>
  <c r="CJ30" i="17"/>
  <c r="CJ28" i="17"/>
  <c r="CJ26" i="17"/>
  <c r="CL25" i="17"/>
  <c r="AM49" i="17"/>
  <c r="AJ49" i="17" s="1"/>
  <c r="AM32" i="17"/>
  <c r="AJ32" i="17" s="1"/>
  <c r="AM44" i="17"/>
  <c r="AM37" i="17"/>
  <c r="AJ37" i="17" s="1"/>
  <c r="AM30" i="17"/>
  <c r="AM46" i="17"/>
  <c r="AJ46" i="17" s="1"/>
  <c r="AM27" i="17"/>
  <c r="AJ27" i="17" s="1"/>
  <c r="AM47" i="17"/>
  <c r="AJ47" i="17" s="1"/>
  <c r="AM38" i="17"/>
  <c r="AM54" i="17"/>
  <c r="AJ54" i="17" s="1"/>
  <c r="AM57" i="17"/>
  <c r="AM29" i="17"/>
  <c r="AJ29" i="17" s="1"/>
  <c r="AM52" i="17"/>
  <c r="AJ52" i="17" s="1"/>
  <c r="AM55" i="17"/>
  <c r="AJ55" i="17" s="1"/>
  <c r="AM39" i="17"/>
  <c r="AM35" i="17"/>
  <c r="AJ35" i="17" s="1"/>
  <c r="AM34" i="17"/>
  <c r="AM26" i="17"/>
  <c r="AJ26" i="17" s="1"/>
  <c r="AM42" i="17"/>
  <c r="AM50" i="17"/>
  <c r="AJ50" i="17" s="1"/>
  <c r="AM45" i="17"/>
  <c r="AJ45" i="17" s="1"/>
  <c r="AM53" i="17"/>
  <c r="AJ53" i="17" s="1"/>
  <c r="AM31" i="17"/>
  <c r="AJ31" i="17" s="1"/>
  <c r="AM36" i="17"/>
  <c r="AM28" i="17"/>
  <c r="AJ28" i="17" s="1"/>
  <c r="AM40" i="17"/>
  <c r="AM48" i="17"/>
  <c r="AJ48" i="17" s="1"/>
  <c r="AM43" i="17"/>
  <c r="AJ43" i="17" s="1"/>
  <c r="AM51" i="17"/>
  <c r="AJ51" i="17" s="1"/>
  <c r="AM56" i="17"/>
  <c r="AM33" i="17"/>
  <c r="AJ33" i="17" s="1"/>
  <c r="AM25" i="17"/>
  <c r="BQ21" i="17"/>
  <c r="GX43" i="17" l="1"/>
  <c r="GZ43" i="17" s="1"/>
  <c r="NC45" i="17"/>
  <c r="NE45" i="17"/>
  <c r="IG21" i="17"/>
  <c r="JE17" i="17" s="1"/>
  <c r="IJ17" i="17"/>
  <c r="KI21" i="17"/>
  <c r="LG17" i="17" s="1"/>
  <c r="KL17" i="17"/>
  <c r="GE21" i="17"/>
  <c r="HC17" i="17" s="1"/>
  <c r="GN17" i="17"/>
  <c r="AI48" i="17"/>
  <c r="AP48" i="17" s="1"/>
  <c r="AQ48" i="17" s="1"/>
  <c r="BO74" i="17"/>
  <c r="AI53" i="17"/>
  <c r="AP53" i="17" s="1"/>
  <c r="AQ53" i="17" s="1"/>
  <c r="BO30" i="17"/>
  <c r="AI35" i="17"/>
  <c r="AP35" i="17" s="1"/>
  <c r="AQ35" i="17" s="1"/>
  <c r="GX26" i="17"/>
  <c r="GZ26" i="17" s="1"/>
  <c r="GX42" i="17"/>
  <c r="GZ42" i="17" s="1"/>
  <c r="GX28" i="17"/>
  <c r="GZ28" i="17" s="1"/>
  <c r="AI31" i="17"/>
  <c r="AP31" i="17" s="1"/>
  <c r="AQ31" i="17" s="1"/>
  <c r="AI32" i="17"/>
  <c r="AP32" i="17" s="1"/>
  <c r="AQ32" i="17" s="1"/>
  <c r="GX41" i="17"/>
  <c r="GZ41" i="17" s="1"/>
  <c r="BO71" i="17"/>
  <c r="BO43" i="17"/>
  <c r="BO54" i="17"/>
  <c r="MR26" i="17"/>
  <c r="NC26" i="17"/>
  <c r="NE26" i="17" s="1"/>
  <c r="MR43" i="17"/>
  <c r="NC43" i="17"/>
  <c r="NE43" i="17" s="1"/>
  <c r="MR24" i="17"/>
  <c r="NC24" i="17"/>
  <c r="NE24" i="17" s="1"/>
  <c r="MR39" i="17"/>
  <c r="NC39" i="17"/>
  <c r="NE39" i="17" s="1"/>
  <c r="NC44" i="17"/>
  <c r="NE44" i="17" s="1"/>
  <c r="MR34" i="17"/>
  <c r="NC34" i="17"/>
  <c r="NE34" i="17" s="1"/>
  <c r="MR35" i="17"/>
  <c r="NC35" i="17"/>
  <c r="NE35" i="17" s="1"/>
  <c r="MR32" i="17"/>
  <c r="NC32" i="17"/>
  <c r="NE32" i="17" s="1"/>
  <c r="MR25" i="17"/>
  <c r="NC25" i="17"/>
  <c r="NE25" i="17" s="1"/>
  <c r="MR27" i="17"/>
  <c r="NC27" i="17"/>
  <c r="NE27" i="17" s="1"/>
  <c r="GX31" i="17"/>
  <c r="GZ31" i="17" s="1"/>
  <c r="MR42" i="17"/>
  <c r="NC42" i="17"/>
  <c r="NE42" i="17" s="1"/>
  <c r="MR28" i="17"/>
  <c r="NC28" i="17"/>
  <c r="NE28" i="17" s="1"/>
  <c r="MR33" i="17"/>
  <c r="NC33" i="17"/>
  <c r="NE33" i="17" s="1"/>
  <c r="MR30" i="17"/>
  <c r="NC30" i="17"/>
  <c r="NE30" i="17" s="1"/>
  <c r="MR37" i="17"/>
  <c r="NC37" i="17"/>
  <c r="NE37" i="17" s="1"/>
  <c r="MR36" i="17"/>
  <c r="NC36" i="17"/>
  <c r="NE36" i="17" s="1"/>
  <c r="MR41" i="17"/>
  <c r="NC41" i="17"/>
  <c r="NE41" i="17" s="1"/>
  <c r="GX30" i="17"/>
  <c r="GZ30" i="17" s="1"/>
  <c r="MR38" i="17"/>
  <c r="NC38" i="17"/>
  <c r="NE38" i="17" s="1"/>
  <c r="MR31" i="17"/>
  <c r="NC31" i="17"/>
  <c r="NE31" i="17" s="1"/>
  <c r="MR40" i="17"/>
  <c r="NC40" i="17"/>
  <c r="NE40" i="17" s="1"/>
  <c r="MR29" i="17"/>
  <c r="NC29" i="17"/>
  <c r="NE29" i="17" s="1"/>
  <c r="GX24" i="17"/>
  <c r="GZ24" i="17" s="1"/>
  <c r="GX39" i="17"/>
  <c r="GZ39" i="17" s="1"/>
  <c r="AI27" i="17"/>
  <c r="AP27" i="17" s="1"/>
  <c r="AQ27" i="17" s="1"/>
  <c r="BO72" i="17"/>
  <c r="BO73" i="17"/>
  <c r="BO40" i="17"/>
  <c r="AI50" i="17"/>
  <c r="AP50" i="17" s="1"/>
  <c r="AQ50" i="17" s="1"/>
  <c r="AI29" i="17"/>
  <c r="AP29" i="17" s="1"/>
  <c r="AQ29" i="17" s="1"/>
  <c r="BO61" i="17"/>
  <c r="AI56" i="17"/>
  <c r="BO62" i="17"/>
  <c r="AI37" i="17"/>
  <c r="AP37" i="17" s="1"/>
  <c r="AQ37" i="17" s="1"/>
  <c r="BO34" i="17"/>
  <c r="BO33" i="17"/>
  <c r="AI25" i="17"/>
  <c r="CN70" i="17"/>
  <c r="BO44" i="17"/>
  <c r="AI51" i="17"/>
  <c r="AP51" i="17" s="1"/>
  <c r="AQ51" i="17" s="1"/>
  <c r="AI38" i="17"/>
  <c r="CN66" i="17"/>
  <c r="AI55" i="17"/>
  <c r="AP55" i="17" s="1"/>
  <c r="AQ55" i="17" s="1"/>
  <c r="AI45" i="17"/>
  <c r="AP45" i="17" s="1"/>
  <c r="AQ45" i="17" s="1"/>
  <c r="BO58" i="17"/>
  <c r="GU66" i="17"/>
  <c r="GU67" i="17"/>
  <c r="AI52" i="17"/>
  <c r="AP52" i="17" s="1"/>
  <c r="AQ52" i="17" s="1"/>
  <c r="HX46" i="17"/>
  <c r="BO68" i="17"/>
  <c r="AI49" i="17"/>
  <c r="AP49" i="17" s="1"/>
  <c r="AQ49" i="17" s="1"/>
  <c r="AI36" i="17"/>
  <c r="AI47" i="17"/>
  <c r="AP47" i="17" s="1"/>
  <c r="AQ47" i="17" s="1"/>
  <c r="BO67" i="17"/>
  <c r="BO66" i="17"/>
  <c r="KY64" i="17"/>
  <c r="BO69" i="17"/>
  <c r="AI46" i="17"/>
  <c r="AP46" i="17" s="1"/>
  <c r="AQ46" i="17" s="1"/>
  <c r="AI41" i="17"/>
  <c r="KY61" i="17"/>
  <c r="AI42" i="17"/>
  <c r="AI28" i="17"/>
  <c r="AP28" i="17" s="1"/>
  <c r="AQ28" i="17" s="1"/>
  <c r="BO60" i="17"/>
  <c r="KY73" i="17"/>
  <c r="GU41" i="17"/>
  <c r="BO59" i="17"/>
  <c r="BO63" i="17"/>
  <c r="CN61" i="17"/>
  <c r="CK69" i="17"/>
  <c r="CN59" i="17"/>
  <c r="HW46" i="17"/>
  <c r="CN64" i="17"/>
  <c r="HU47" i="17"/>
  <c r="HZ47" i="17" s="1"/>
  <c r="MH24" i="17"/>
  <c r="MH25" i="17" s="1"/>
  <c r="MJ21" i="17"/>
  <c r="NH17" i="17" s="1"/>
  <c r="CN65" i="17"/>
  <c r="CN63" i="17"/>
  <c r="CK71" i="17"/>
  <c r="CK73" i="17"/>
  <c r="CN58" i="17"/>
  <c r="CN62" i="17"/>
  <c r="CN72" i="17"/>
  <c r="IW61" i="17"/>
  <c r="CN60" i="17"/>
  <c r="CN68" i="17"/>
  <c r="IW41" i="17"/>
  <c r="GU61" i="17"/>
  <c r="KY67" i="17"/>
  <c r="CN74" i="17"/>
  <c r="CN67" i="17"/>
  <c r="GU25" i="17"/>
  <c r="AJ25" i="17"/>
  <c r="MZ36" i="17"/>
  <c r="AJ36" i="17"/>
  <c r="MZ38" i="17"/>
  <c r="AJ38" i="17"/>
  <c r="GU30" i="17"/>
  <c r="AJ30" i="17"/>
  <c r="AP30" i="17" s="1"/>
  <c r="AQ30" i="17" s="1"/>
  <c r="BP71" i="17"/>
  <c r="AJ71" i="17"/>
  <c r="AP71" i="17" s="1"/>
  <c r="AQ71" i="17" s="1"/>
  <c r="BP74" i="17"/>
  <c r="AJ74" i="17"/>
  <c r="AP74" i="17" s="1"/>
  <c r="AQ74" i="17" s="1"/>
  <c r="BP69" i="17"/>
  <c r="AJ69" i="17"/>
  <c r="AP69" i="17" s="1"/>
  <c r="AQ69" i="17" s="1"/>
  <c r="BP65" i="17"/>
  <c r="AJ65" i="17"/>
  <c r="AP65" i="17" s="1"/>
  <c r="AQ65" i="17" s="1"/>
  <c r="BP70" i="17"/>
  <c r="AJ70" i="17"/>
  <c r="AP70" i="17" s="1"/>
  <c r="AQ70" i="17" s="1"/>
  <c r="BP58" i="17"/>
  <c r="AJ58" i="17"/>
  <c r="AP58" i="17" s="1"/>
  <c r="AQ58" i="17" s="1"/>
  <c r="AP43" i="17"/>
  <c r="AQ43" i="17" s="1"/>
  <c r="AP26" i="17"/>
  <c r="AQ26" i="17" s="1"/>
  <c r="AP33" i="17"/>
  <c r="AQ33" i="17" s="1"/>
  <c r="MZ56" i="17"/>
  <c r="AJ56" i="17"/>
  <c r="MZ40" i="17"/>
  <c r="AJ40" i="17"/>
  <c r="AP40" i="17" s="1"/>
  <c r="AQ40" i="17" s="1"/>
  <c r="GU42" i="17"/>
  <c r="AJ42" i="17"/>
  <c r="IW39" i="17"/>
  <c r="AJ39" i="17"/>
  <c r="AP39" i="17" s="1"/>
  <c r="AQ39" i="17" s="1"/>
  <c r="KY57" i="17"/>
  <c r="AJ57" i="17"/>
  <c r="AP57" i="17" s="1"/>
  <c r="AQ57" i="17" s="1"/>
  <c r="IW44" i="17"/>
  <c r="AJ44" i="17"/>
  <c r="AP44" i="17" s="1"/>
  <c r="AQ44" i="17" s="1"/>
  <c r="BP66" i="17"/>
  <c r="AJ66" i="17"/>
  <c r="AP66" i="17" s="1"/>
  <c r="AQ66" i="17" s="1"/>
  <c r="BP73" i="17"/>
  <c r="AJ73" i="17"/>
  <c r="AP73" i="17" s="1"/>
  <c r="AQ73" i="17" s="1"/>
  <c r="BP67" i="17"/>
  <c r="AJ67" i="17"/>
  <c r="AP67" i="17" s="1"/>
  <c r="AQ67" i="17" s="1"/>
  <c r="BP61" i="17"/>
  <c r="AJ61" i="17"/>
  <c r="AP61" i="17" s="1"/>
  <c r="AQ61" i="17" s="1"/>
  <c r="BP41" i="17"/>
  <c r="AJ41" i="17"/>
  <c r="IW34" i="17"/>
  <c r="AJ34" i="17"/>
  <c r="AP34" i="17" s="1"/>
  <c r="AQ34" i="17" s="1"/>
  <c r="BP59" i="17"/>
  <c r="AJ59" i="17"/>
  <c r="AP59" i="17" s="1"/>
  <c r="AQ59" i="17" s="1"/>
  <c r="BP63" i="17"/>
  <c r="AJ63" i="17"/>
  <c r="AP63" i="17" s="1"/>
  <c r="AQ63" i="17" s="1"/>
  <c r="BP24" i="17"/>
  <c r="BP68" i="17"/>
  <c r="AJ68" i="17"/>
  <c r="AP68" i="17" s="1"/>
  <c r="AQ68" i="17" s="1"/>
  <c r="BP64" i="17"/>
  <c r="AJ64" i="17"/>
  <c r="AP64" i="17" s="1"/>
  <c r="AQ64" i="17" s="1"/>
  <c r="BP72" i="17"/>
  <c r="AJ72" i="17"/>
  <c r="AP72" i="17" s="1"/>
  <c r="AQ72" i="17" s="1"/>
  <c r="BP62" i="17"/>
  <c r="AJ62" i="17"/>
  <c r="AP62" i="17" s="1"/>
  <c r="AQ62" i="17" s="1"/>
  <c r="BP60" i="17"/>
  <c r="AJ60" i="17"/>
  <c r="AP60" i="17" s="1"/>
  <c r="AQ60" i="17" s="1"/>
  <c r="AP54" i="17"/>
  <c r="AQ54" i="17" s="1"/>
  <c r="GM40" i="17"/>
  <c r="HP40" i="17" s="1"/>
  <c r="GM55" i="17"/>
  <c r="HP55" i="17" s="1"/>
  <c r="GM38" i="17"/>
  <c r="HP38" i="17" s="1"/>
  <c r="LT28" i="17"/>
  <c r="GM53" i="17"/>
  <c r="HP53" i="17" s="1"/>
  <c r="LT44" i="17"/>
  <c r="GM57" i="17"/>
  <c r="HP57" i="17" s="1"/>
  <c r="GM46" i="17"/>
  <c r="HP46" i="17" s="1"/>
  <c r="GM48" i="17"/>
  <c r="HP48" i="17" s="1"/>
  <c r="LT45" i="17"/>
  <c r="GM29" i="17"/>
  <c r="HP29" i="17" s="1"/>
  <c r="GM25" i="17"/>
  <c r="HP25" i="17" s="1"/>
  <c r="LT42" i="17"/>
  <c r="LT32" i="17"/>
  <c r="LT29" i="17"/>
  <c r="LT25" i="17"/>
  <c r="GM56" i="17"/>
  <c r="HP56" i="17" s="1"/>
  <c r="LT39" i="17"/>
  <c r="GM52" i="17"/>
  <c r="HP52" i="17" s="1"/>
  <c r="GM27" i="17"/>
  <c r="HP27" i="17" s="1"/>
  <c r="LT24" i="17"/>
  <c r="GM37" i="17"/>
  <c r="HP37" i="17" s="1"/>
  <c r="LT30" i="17"/>
  <c r="LT46" i="17"/>
  <c r="GM35" i="17"/>
  <c r="HP35" i="17" s="1"/>
  <c r="GM33" i="17"/>
  <c r="HP33" i="17" s="1"/>
  <c r="GM49" i="17"/>
  <c r="HP49" i="17" s="1"/>
  <c r="LT36" i="17"/>
  <c r="LT35" i="17"/>
  <c r="GM34" i="17"/>
  <c r="HP34" i="17" s="1"/>
  <c r="GM36" i="17"/>
  <c r="HP36" i="17" s="1"/>
  <c r="LT31" i="17"/>
  <c r="LT41" i="17"/>
  <c r="LT43" i="17"/>
  <c r="LT38" i="17"/>
  <c r="GM45" i="17"/>
  <c r="HP45" i="17" s="1"/>
  <c r="GM43" i="17"/>
  <c r="HP43" i="17" s="1"/>
  <c r="LT27" i="17"/>
  <c r="LT26" i="17"/>
  <c r="LT40" i="17"/>
  <c r="LT37" i="17"/>
  <c r="GM32" i="17"/>
  <c r="HP32" i="17" s="1"/>
  <c r="GM47" i="17"/>
  <c r="HP47" i="17" s="1"/>
  <c r="LT33" i="17"/>
  <c r="LT34" i="17"/>
  <c r="GE62" i="17"/>
  <c r="GE67" i="17"/>
  <c r="GE24" i="17"/>
  <c r="HP24" i="17"/>
  <c r="GE65" i="17"/>
  <c r="GE60" i="17"/>
  <c r="GE69" i="17"/>
  <c r="GE59" i="17"/>
  <c r="GE58" i="17"/>
  <c r="GE70" i="17"/>
  <c r="HP73" i="17"/>
  <c r="GE73" i="17"/>
  <c r="GE68" i="17"/>
  <c r="GE25" i="17"/>
  <c r="GE71" i="17"/>
  <c r="GE66" i="17"/>
  <c r="GE63" i="17"/>
  <c r="GE64" i="17"/>
  <c r="GE61" i="17"/>
  <c r="HP74" i="17"/>
  <c r="GE74" i="17"/>
  <c r="GE72" i="17"/>
  <c r="BQ8" i="17"/>
  <c r="G97" i="17" s="1"/>
  <c r="D97" i="17" s="1"/>
  <c r="MZ41" i="17"/>
  <c r="MZ61" i="17"/>
  <c r="GU73" i="17"/>
  <c r="IW66" i="17"/>
  <c r="MZ66" i="17"/>
  <c r="IW60" i="17"/>
  <c r="KY72" i="17"/>
  <c r="MZ62" i="17"/>
  <c r="GU59" i="17"/>
  <c r="GU71" i="17"/>
  <c r="KY74" i="17"/>
  <c r="GU63" i="17"/>
  <c r="KY62" i="17"/>
  <c r="MZ60" i="17"/>
  <c r="MZ64" i="17"/>
  <c r="IW62" i="17"/>
  <c r="KY70" i="17"/>
  <c r="GU60" i="17"/>
  <c r="MZ72" i="17"/>
  <c r="GU64" i="17"/>
  <c r="GU62" i="17"/>
  <c r="MZ71" i="17"/>
  <c r="KY59" i="17"/>
  <c r="KY63" i="17"/>
  <c r="IW71" i="17"/>
  <c r="GU74" i="17"/>
  <c r="MZ74" i="17"/>
  <c r="MZ58" i="17"/>
  <c r="MZ63" i="17"/>
  <c r="MZ59" i="17"/>
  <c r="KY71" i="17"/>
  <c r="KY65" i="17"/>
  <c r="IW74" i="17"/>
  <c r="IW59" i="17"/>
  <c r="MZ68" i="17"/>
  <c r="IW63" i="17"/>
  <c r="IW69" i="17"/>
  <c r="KY43" i="17"/>
  <c r="BP43" i="17"/>
  <c r="MZ45" i="17"/>
  <c r="BP45" i="17"/>
  <c r="IW52" i="17"/>
  <c r="BP52" i="17"/>
  <c r="GU49" i="17"/>
  <c r="BP49" i="17"/>
  <c r="GU45" i="17"/>
  <c r="KY49" i="17"/>
  <c r="GU38" i="17"/>
  <c r="IW33" i="17"/>
  <c r="BP33" i="17"/>
  <c r="MZ48" i="17"/>
  <c r="BP48" i="17"/>
  <c r="KY50" i="17"/>
  <c r="BP50" i="17"/>
  <c r="MZ29" i="17"/>
  <c r="BP29" i="17"/>
  <c r="KY47" i="17"/>
  <c r="BP47" i="17"/>
  <c r="GU37" i="17"/>
  <c r="BP37" i="17"/>
  <c r="KY52" i="17"/>
  <c r="IW56" i="17"/>
  <c r="BP56" i="17"/>
  <c r="KY40" i="17"/>
  <c r="BP40" i="17"/>
  <c r="KY31" i="17"/>
  <c r="BP31" i="17"/>
  <c r="IW42" i="17"/>
  <c r="BP42" i="17"/>
  <c r="KY39" i="17"/>
  <c r="BP39" i="17"/>
  <c r="IW57" i="17"/>
  <c r="BP57" i="17"/>
  <c r="KY27" i="17"/>
  <c r="BP27" i="17"/>
  <c r="KY44" i="17"/>
  <c r="BP44" i="17"/>
  <c r="KY56" i="17"/>
  <c r="KY42" i="17"/>
  <c r="MZ52" i="17"/>
  <c r="IW43" i="17"/>
  <c r="GU31" i="17"/>
  <c r="IW27" i="17"/>
  <c r="GU65" i="17"/>
  <c r="GU70" i="17"/>
  <c r="GU51" i="17"/>
  <c r="BP51" i="17"/>
  <c r="GU28" i="17"/>
  <c r="BP28" i="17"/>
  <c r="KY53" i="17"/>
  <c r="BP53" i="17"/>
  <c r="IW26" i="17"/>
  <c r="BP26" i="17"/>
  <c r="MZ55" i="17"/>
  <c r="BP55" i="17"/>
  <c r="MZ54" i="17"/>
  <c r="BP54" i="17"/>
  <c r="IW46" i="17"/>
  <c r="BP46" i="17"/>
  <c r="MZ32" i="17"/>
  <c r="BP32" i="17"/>
  <c r="KY45" i="17"/>
  <c r="IW49" i="17"/>
  <c r="GU57" i="17"/>
  <c r="GU44" i="17"/>
  <c r="IW40" i="17"/>
  <c r="KY41" i="17"/>
  <c r="GU39" i="17"/>
  <c r="IW64" i="17"/>
  <c r="MZ65" i="17"/>
  <c r="IW65" i="17"/>
  <c r="MZ70" i="17"/>
  <c r="IW67" i="17"/>
  <c r="MZ67" i="17"/>
  <c r="GU58" i="17"/>
  <c r="KY58" i="17"/>
  <c r="KY60" i="17"/>
  <c r="GU68" i="17"/>
  <c r="IW68" i="17"/>
  <c r="MZ73" i="17"/>
  <c r="IW73" i="17"/>
  <c r="KY66" i="17"/>
  <c r="IW72" i="17"/>
  <c r="GU72" i="17"/>
  <c r="GU69" i="17"/>
  <c r="KY25" i="17"/>
  <c r="BP25" i="17"/>
  <c r="IW36" i="17"/>
  <c r="BP36" i="17"/>
  <c r="KY34" i="17"/>
  <c r="BP34" i="17"/>
  <c r="IW38" i="17"/>
  <c r="BP38" i="17"/>
  <c r="IW30" i="17"/>
  <c r="BP30" i="17"/>
  <c r="MZ25" i="17"/>
  <c r="GU35" i="17"/>
  <c r="BP35" i="17"/>
  <c r="KY36" i="17"/>
  <c r="MZ34" i="17"/>
  <c r="GU43" i="17"/>
  <c r="MZ31" i="17"/>
  <c r="MZ30" i="17"/>
  <c r="GU27" i="17"/>
  <c r="IW70" i="17"/>
  <c r="IW58" i="17"/>
  <c r="KY68" i="17"/>
  <c r="MZ69" i="17"/>
  <c r="KY69" i="17"/>
  <c r="M74" i="17"/>
  <c r="M70" i="17"/>
  <c r="M66" i="17"/>
  <c r="M62" i="17"/>
  <c r="M58" i="17"/>
  <c r="M54" i="17"/>
  <c r="M50" i="17"/>
  <c r="M46" i="17"/>
  <c r="M42" i="17"/>
  <c r="M38" i="17"/>
  <c r="M34" i="17"/>
  <c r="M30" i="17"/>
  <c r="M26" i="17"/>
  <c r="M73" i="17"/>
  <c r="M69" i="17"/>
  <c r="M65" i="17"/>
  <c r="M61" i="17"/>
  <c r="M57" i="17"/>
  <c r="M53" i="17"/>
  <c r="M49" i="17"/>
  <c r="M45" i="17"/>
  <c r="M41" i="17"/>
  <c r="M37" i="17"/>
  <c r="M33" i="17"/>
  <c r="M29" i="17"/>
  <c r="M25" i="17"/>
  <c r="M72" i="17"/>
  <c r="M68" i="17"/>
  <c r="M64" i="17"/>
  <c r="M60" i="17"/>
  <c r="M56" i="17"/>
  <c r="M52" i="17"/>
  <c r="M48" i="17"/>
  <c r="M44" i="17"/>
  <c r="M40" i="17"/>
  <c r="M36" i="17"/>
  <c r="M32" i="17"/>
  <c r="M28" i="17"/>
  <c r="M24" i="17"/>
  <c r="M71" i="17"/>
  <c r="M67" i="17"/>
  <c r="M63" i="17"/>
  <c r="M59" i="17"/>
  <c r="M55" i="17"/>
  <c r="M51" i="17"/>
  <c r="M47" i="17"/>
  <c r="M43" i="17"/>
  <c r="M39" i="17"/>
  <c r="M35" i="17"/>
  <c r="M31" i="17"/>
  <c r="M27" i="17"/>
  <c r="MZ24" i="17"/>
  <c r="GU24" i="17"/>
  <c r="IW24" i="17"/>
  <c r="KY24" i="17"/>
  <c r="GU55" i="17"/>
  <c r="KY46" i="17"/>
  <c r="GU33" i="17"/>
  <c r="IW32" i="17"/>
  <c r="MZ37" i="17"/>
  <c r="IW47" i="17"/>
  <c r="IW35" i="17"/>
  <c r="KY54" i="17"/>
  <c r="GU53" i="17"/>
  <c r="MZ51" i="17"/>
  <c r="GU29" i="17"/>
  <c r="MZ28" i="17"/>
  <c r="IW50" i="17"/>
  <c r="KY48" i="17"/>
  <c r="KY26" i="17"/>
  <c r="GU56" i="17"/>
  <c r="IW55" i="17"/>
  <c r="MZ46" i="17"/>
  <c r="IW45" i="17"/>
  <c r="MZ42" i="17"/>
  <c r="KY33" i="17"/>
  <c r="IW25" i="17"/>
  <c r="KY32" i="17"/>
  <c r="GU52" i="17"/>
  <c r="MZ49" i="17"/>
  <c r="KY37" i="17"/>
  <c r="GU36" i="17"/>
  <c r="MZ57" i="17"/>
  <c r="GU47" i="17"/>
  <c r="KY35" i="17"/>
  <c r="GU34" i="17"/>
  <c r="IW54" i="17"/>
  <c r="MZ53" i="17"/>
  <c r="MZ44" i="17"/>
  <c r="MZ43" i="17"/>
  <c r="GU40" i="17"/>
  <c r="IW31" i="17"/>
  <c r="KY38" i="17"/>
  <c r="KY30" i="17"/>
  <c r="IW51" i="17"/>
  <c r="IW29" i="17"/>
  <c r="IW28" i="17"/>
  <c r="MZ50" i="17"/>
  <c r="GU48" i="17"/>
  <c r="MZ39" i="17"/>
  <c r="MZ27" i="17"/>
  <c r="MZ26" i="17"/>
  <c r="KY55" i="17"/>
  <c r="GU46" i="17"/>
  <c r="MZ33" i="17"/>
  <c r="GU32" i="17"/>
  <c r="IW37" i="17"/>
  <c r="MZ47" i="17"/>
  <c r="MZ35" i="17"/>
  <c r="GU54" i="17"/>
  <c r="IW53" i="17"/>
  <c r="KY51" i="17"/>
  <c r="KY29" i="17"/>
  <c r="KY28" i="17"/>
  <c r="GU50" i="17"/>
  <c r="IW48" i="17"/>
  <c r="GU26" i="17"/>
  <c r="MD46" i="17"/>
  <c r="LY47" i="17"/>
  <c r="LZ47" i="17"/>
  <c r="MA46" i="17"/>
  <c r="NC46" i="17" s="1"/>
  <c r="MB46" i="17"/>
  <c r="JY46" i="17"/>
  <c r="JX47" i="17"/>
  <c r="JZ46" i="17"/>
  <c r="JW47" i="17"/>
  <c r="KB47" i="17" s="1"/>
  <c r="KF24" i="17"/>
  <c r="ID24" i="17"/>
  <c r="GC24" i="17"/>
  <c r="GC25" i="17" s="1"/>
  <c r="GC26" i="17" s="1"/>
  <c r="GC27" i="17" s="1"/>
  <c r="GC28" i="17" s="1"/>
  <c r="GC29" i="17" s="1"/>
  <c r="GC30" i="17" s="1"/>
  <c r="GC31" i="17" s="1"/>
  <c r="GC32" i="17" s="1"/>
  <c r="GC33" i="17" s="1"/>
  <c r="GC34" i="17" s="1"/>
  <c r="GC35" i="17" s="1"/>
  <c r="GC36" i="17" s="1"/>
  <c r="GC37" i="17" s="1"/>
  <c r="GC38" i="17" s="1"/>
  <c r="GC39" i="17" s="1"/>
  <c r="GC40" i="17" s="1"/>
  <c r="GC41" i="17" s="1"/>
  <c r="GC42" i="17" s="1"/>
  <c r="GC43" i="17" s="1"/>
  <c r="GC44" i="17" s="1"/>
  <c r="GC45" i="17" s="1"/>
  <c r="GC46" i="17" s="1"/>
  <c r="GC47" i="17" s="1"/>
  <c r="GC48" i="17" s="1"/>
  <c r="GC49" i="17" s="1"/>
  <c r="GC50" i="17" s="1"/>
  <c r="GC51" i="17" s="1"/>
  <c r="GC52" i="17" s="1"/>
  <c r="GC53" i="17" s="1"/>
  <c r="GC54" i="17" s="1"/>
  <c r="GC55" i="17" s="1"/>
  <c r="GC56" i="17" s="1"/>
  <c r="GC57" i="17" s="1"/>
  <c r="GC58" i="17" s="1"/>
  <c r="GC59" i="17" s="1"/>
  <c r="GC60" i="17" s="1"/>
  <c r="GC61" i="17" s="1"/>
  <c r="GC62" i="17" s="1"/>
  <c r="GC63" i="17" s="1"/>
  <c r="GC64" i="17" s="1"/>
  <c r="GC65" i="17" s="1"/>
  <c r="GC66" i="17" s="1"/>
  <c r="GC67" i="17" s="1"/>
  <c r="GC68" i="17" s="1"/>
  <c r="GC69" i="17" s="1"/>
  <c r="GC70" i="17" s="1"/>
  <c r="GC71" i="17" s="1"/>
  <c r="GC72" i="17" s="1"/>
  <c r="GC73" i="17" s="1"/>
  <c r="GC74" i="17" s="1"/>
  <c r="LT47" i="17"/>
  <c r="FW44" i="17"/>
  <c r="FT45" i="17"/>
  <c r="FY45" i="17" s="1"/>
  <c r="FU45" i="17"/>
  <c r="FV44" i="17"/>
  <c r="GX44" i="17" s="1"/>
  <c r="GZ44" i="17" s="1"/>
  <c r="CN26" i="17"/>
  <c r="CK26" i="17"/>
  <c r="CN34" i="17"/>
  <c r="CK34" i="17"/>
  <c r="CN52" i="17"/>
  <c r="CK52" i="17"/>
  <c r="CN56" i="17"/>
  <c r="CK56" i="17"/>
  <c r="CN57" i="17"/>
  <c r="CK57" i="17"/>
  <c r="CN39" i="17"/>
  <c r="CK39" i="17"/>
  <c r="CN25" i="17"/>
  <c r="CK25" i="17"/>
  <c r="CM25" i="17" s="1"/>
  <c r="CO25" i="17" s="1"/>
  <c r="CN46" i="17"/>
  <c r="CK46" i="17"/>
  <c r="CN28" i="17"/>
  <c r="CK28" i="17"/>
  <c r="CN36" i="17"/>
  <c r="CK36" i="17"/>
  <c r="CN44" i="17"/>
  <c r="CK44" i="17"/>
  <c r="CN53" i="17"/>
  <c r="CK53" i="17"/>
  <c r="CN50" i="17"/>
  <c r="CK50" i="17"/>
  <c r="CN42" i="17"/>
  <c r="CK42" i="17"/>
  <c r="CN29" i="17"/>
  <c r="CK29" i="17"/>
  <c r="CN51" i="17"/>
  <c r="CK51" i="17"/>
  <c r="CN30" i="17"/>
  <c r="CK30" i="17"/>
  <c r="CN38" i="17"/>
  <c r="CK38" i="17"/>
  <c r="CN49" i="17"/>
  <c r="CK49" i="17"/>
  <c r="CN31" i="17"/>
  <c r="CK31" i="17"/>
  <c r="CN55" i="17"/>
  <c r="CK55" i="17"/>
  <c r="CN48" i="17"/>
  <c r="CK48" i="17"/>
  <c r="CN33" i="17"/>
  <c r="CK33" i="17"/>
  <c r="CN54" i="17"/>
  <c r="CK54" i="17"/>
  <c r="CK24" i="17"/>
  <c r="CN24" i="17"/>
  <c r="CN32" i="17"/>
  <c r="CK32" i="17"/>
  <c r="CN40" i="17"/>
  <c r="CK40" i="17"/>
  <c r="CN41" i="17"/>
  <c r="CK41" i="17"/>
  <c r="CN35" i="17"/>
  <c r="CK35" i="17"/>
  <c r="CN47" i="17"/>
  <c r="CK47" i="17"/>
  <c r="CN45" i="17"/>
  <c r="CK45" i="17"/>
  <c r="CN37" i="17"/>
  <c r="CK37" i="17"/>
  <c r="CN43" i="17"/>
  <c r="CK43" i="17"/>
  <c r="CK27" i="17"/>
  <c r="CL26" i="17"/>
  <c r="BP21" i="17"/>
  <c r="CN22" i="17"/>
  <c r="BO21" i="17"/>
  <c r="NE46" i="17" l="1"/>
  <c r="KN24" i="17"/>
  <c r="KN25" i="17" s="1"/>
  <c r="KN26" i="17" s="1"/>
  <c r="KN27" i="17" s="1"/>
  <c r="KN28" i="17" s="1"/>
  <c r="KN29" i="17" s="1"/>
  <c r="KN30" i="17" s="1"/>
  <c r="KN31" i="17" s="1"/>
  <c r="KN32" i="17" s="1"/>
  <c r="KN33" i="17" s="1"/>
  <c r="KN34" i="17" s="1"/>
  <c r="KN35" i="17" s="1"/>
  <c r="KN36" i="17" s="1"/>
  <c r="KN37" i="17" s="1"/>
  <c r="KN38" i="17" s="1"/>
  <c r="KN39" i="17" s="1"/>
  <c r="KN40" i="17" s="1"/>
  <c r="KN41" i="17" s="1"/>
  <c r="KN42" i="17" s="1"/>
  <c r="KN43" i="17" s="1"/>
  <c r="KN44" i="17" s="1"/>
  <c r="KN45" i="17" s="1"/>
  <c r="KN46" i="17" s="1"/>
  <c r="KN47" i="17" s="1"/>
  <c r="KN48" i="17" s="1"/>
  <c r="KN49" i="17" s="1"/>
  <c r="KN50" i="17" s="1"/>
  <c r="KN51" i="17" s="1"/>
  <c r="KN52" i="17" s="1"/>
  <c r="KN53" i="17" s="1"/>
  <c r="KN54" i="17" s="1"/>
  <c r="KN55" i="17" s="1"/>
  <c r="KN56" i="17" s="1"/>
  <c r="KN57" i="17" s="1"/>
  <c r="KN58" i="17" s="1"/>
  <c r="KN59" i="17" s="1"/>
  <c r="KN60" i="17" s="1"/>
  <c r="KN61" i="17" s="1"/>
  <c r="KN62" i="17" s="1"/>
  <c r="KN63" i="17" s="1"/>
  <c r="KN64" i="17" s="1"/>
  <c r="KN65" i="17" s="1"/>
  <c r="KN66" i="17" s="1"/>
  <c r="KN67" i="17" s="1"/>
  <c r="KN68" i="17" s="1"/>
  <c r="KN69" i="17" s="1"/>
  <c r="KN70" i="17" s="1"/>
  <c r="KN71" i="17" s="1"/>
  <c r="KN72" i="17" s="1"/>
  <c r="KN73" i="17" s="1"/>
  <c r="KN74" i="17" s="1"/>
  <c r="IL24" i="17"/>
  <c r="IL25" i="17" s="1"/>
  <c r="IL26" i="17" s="1"/>
  <c r="IL27" i="17" s="1"/>
  <c r="IL28" i="17" s="1"/>
  <c r="IL29" i="17" s="1"/>
  <c r="IL30" i="17" s="1"/>
  <c r="IL31" i="17" s="1"/>
  <c r="IL32" i="17" s="1"/>
  <c r="IL33" i="17" s="1"/>
  <c r="IL34" i="17" s="1"/>
  <c r="IL35" i="17" s="1"/>
  <c r="IL36" i="17" s="1"/>
  <c r="IL37" i="17" s="1"/>
  <c r="IL38" i="17" s="1"/>
  <c r="IL39" i="17" s="1"/>
  <c r="IL40" i="17" s="1"/>
  <c r="IL41" i="17" s="1"/>
  <c r="IL42" i="17" s="1"/>
  <c r="IL43" i="17" s="1"/>
  <c r="IL44" i="17" s="1"/>
  <c r="IL45" i="17" s="1"/>
  <c r="IL46" i="17" s="1"/>
  <c r="IL47" i="17" s="1"/>
  <c r="IL48" i="17" s="1"/>
  <c r="GO17" i="17"/>
  <c r="GV17" i="17"/>
  <c r="AP36" i="17"/>
  <c r="AQ36" i="17" s="1"/>
  <c r="AP38" i="17"/>
  <c r="AQ38" i="17" s="1"/>
  <c r="AP25" i="17"/>
  <c r="AQ25" i="17" s="1"/>
  <c r="AP56" i="17"/>
  <c r="AQ56" i="17" s="1"/>
  <c r="BO8" i="17"/>
  <c r="G100" i="17" s="1"/>
  <c r="AP41" i="17"/>
  <c r="AQ41" i="17" s="1"/>
  <c r="AP42" i="17"/>
  <c r="AQ42" i="17" s="1"/>
  <c r="HU48" i="17"/>
  <c r="HZ48" i="17" s="1"/>
  <c r="CN21" i="17"/>
  <c r="C39" i="16" s="1"/>
  <c r="HX47" i="17"/>
  <c r="HW47" i="17"/>
  <c r="K21" i="17"/>
  <c r="AC61" i="17"/>
  <c r="GF72" i="17"/>
  <c r="GL72" i="17" s="1"/>
  <c r="GF68" i="17"/>
  <c r="GH68" i="17" s="1"/>
  <c r="GI68" i="17" s="1"/>
  <c r="GF59" i="17"/>
  <c r="GH59" i="17" s="1"/>
  <c r="GI59" i="17" s="1"/>
  <c r="HP72" i="17"/>
  <c r="HP66" i="17"/>
  <c r="GF73" i="17"/>
  <c r="GH73" i="17" s="1"/>
  <c r="GI73" i="17" s="1"/>
  <c r="HP59" i="17"/>
  <c r="HP65" i="17"/>
  <c r="GF62" i="17"/>
  <c r="GH62" i="17" s="1"/>
  <c r="GI62" i="17" s="1"/>
  <c r="GF64" i="17"/>
  <c r="GH64" i="17" s="1"/>
  <c r="GI64" i="17" s="1"/>
  <c r="HP63" i="17"/>
  <c r="GF71" i="17"/>
  <c r="GH71" i="17" s="1"/>
  <c r="GI71" i="17" s="1"/>
  <c r="HP68" i="17"/>
  <c r="GF70" i="17"/>
  <c r="GL70" i="17" s="1"/>
  <c r="HP58" i="17"/>
  <c r="HP69" i="17"/>
  <c r="GF60" i="17"/>
  <c r="GH60" i="17" s="1"/>
  <c r="GI60" i="17" s="1"/>
  <c r="GF67" i="17"/>
  <c r="GL67" i="17" s="1"/>
  <c r="HP64" i="17"/>
  <c r="HP71" i="17"/>
  <c r="HP70" i="17"/>
  <c r="GF69" i="17"/>
  <c r="GH69" i="17" s="1"/>
  <c r="GI69" i="17" s="1"/>
  <c r="GF61" i="17"/>
  <c r="GH61" i="17" s="1"/>
  <c r="GI61" i="17" s="1"/>
  <c r="GF74" i="17"/>
  <c r="HP61" i="17"/>
  <c r="GF63" i="17"/>
  <c r="GH63" i="17" s="1"/>
  <c r="GI63" i="17" s="1"/>
  <c r="GF66" i="17"/>
  <c r="GL66" i="17" s="1"/>
  <c r="GF58" i="17"/>
  <c r="GL58" i="17" s="1"/>
  <c r="HP60" i="17"/>
  <c r="GF65" i="17"/>
  <c r="GL65" i="17" s="1"/>
  <c r="HP67" i="17"/>
  <c r="HP62" i="17"/>
  <c r="AC41" i="17"/>
  <c r="AC66" i="17"/>
  <c r="AC56" i="17"/>
  <c r="AC73" i="17"/>
  <c r="AC58" i="17"/>
  <c r="AC36" i="17"/>
  <c r="AC60" i="17"/>
  <c r="AC71" i="17"/>
  <c r="AC59" i="17"/>
  <c r="AC70" i="17"/>
  <c r="AC46" i="17"/>
  <c r="AC63" i="17"/>
  <c r="AC74" i="17"/>
  <c r="AC62" i="17"/>
  <c r="AC72" i="17"/>
  <c r="AC40" i="17"/>
  <c r="AC52" i="17"/>
  <c r="AC64" i="17"/>
  <c r="AC32" i="17"/>
  <c r="AC45" i="17"/>
  <c r="AC67" i="17"/>
  <c r="AC39" i="17"/>
  <c r="AC31" i="17"/>
  <c r="AC49" i="17"/>
  <c r="AC24" i="17"/>
  <c r="AC68" i="17"/>
  <c r="AC54" i="17"/>
  <c r="AC30" i="17"/>
  <c r="AC34" i="17"/>
  <c r="AC69" i="17"/>
  <c r="AC65" i="17"/>
  <c r="AC42" i="17"/>
  <c r="AC38" i="17"/>
  <c r="AC44" i="17"/>
  <c r="BP8" i="17"/>
  <c r="AC55" i="17"/>
  <c r="AC50" i="17"/>
  <c r="AC43" i="17"/>
  <c r="AC35" i="17"/>
  <c r="AC33" i="17"/>
  <c r="AC27" i="17"/>
  <c r="AC25" i="17"/>
  <c r="AC53" i="17"/>
  <c r="AC37" i="17"/>
  <c r="AC48" i="17"/>
  <c r="AC57" i="17"/>
  <c r="AC29" i="17"/>
  <c r="AC26" i="17"/>
  <c r="AC28" i="17"/>
  <c r="AC47" i="17"/>
  <c r="AC51" i="17"/>
  <c r="MD47" i="17"/>
  <c r="LY48" i="17"/>
  <c r="CM24" i="17"/>
  <c r="CO24" i="17" s="1"/>
  <c r="MH26" i="17"/>
  <c r="MV25" i="17"/>
  <c r="GQ25" i="17"/>
  <c r="LZ48" i="17"/>
  <c r="MA47" i="17"/>
  <c r="NC47" i="17" s="1"/>
  <c r="MB47" i="17"/>
  <c r="GF24" i="17"/>
  <c r="IS25" i="17"/>
  <c r="KU25" i="17"/>
  <c r="KF25" i="17"/>
  <c r="JZ47" i="17"/>
  <c r="JW48" i="17"/>
  <c r="KB48" i="17" s="1"/>
  <c r="JX48" i="17"/>
  <c r="JY47" i="17"/>
  <c r="ID25" i="17"/>
  <c r="LT48" i="17"/>
  <c r="FU46" i="17"/>
  <c r="FV45" i="17"/>
  <c r="GX45" i="17" s="1"/>
  <c r="GZ45" i="17" s="1"/>
  <c r="FW45" i="17"/>
  <c r="FT46" i="17"/>
  <c r="FY46" i="17" s="1"/>
  <c r="GF25" i="17"/>
  <c r="CM26" i="17"/>
  <c r="CO26" i="17" s="1"/>
  <c r="CL27" i="17"/>
  <c r="CM27" i="17" s="1"/>
  <c r="GE26" i="17"/>
  <c r="HP21" i="17"/>
  <c r="HX48" i="17" l="1"/>
  <c r="NE47" i="17"/>
  <c r="KI24" i="17"/>
  <c r="LB24" i="17" s="1"/>
  <c r="LD24" i="17" s="1"/>
  <c r="GJ60" i="17"/>
  <c r="GN60" i="17" s="1"/>
  <c r="HH60" i="17" s="1"/>
  <c r="GJ62" i="17"/>
  <c r="GN62" i="17" s="1"/>
  <c r="HH62" i="17" s="1"/>
  <c r="GJ71" i="17"/>
  <c r="GN71" i="17" s="1"/>
  <c r="HH71" i="17" s="1"/>
  <c r="GJ61" i="17"/>
  <c r="GN61" i="17" s="1"/>
  <c r="HH61" i="17" s="1"/>
  <c r="GJ59" i="17"/>
  <c r="GN59" i="17" s="1"/>
  <c r="HH59" i="17" s="1"/>
  <c r="GJ63" i="17"/>
  <c r="GN63" i="17" s="1"/>
  <c r="HH63" i="17" s="1"/>
  <c r="GJ69" i="17"/>
  <c r="GN69" i="17" s="1"/>
  <c r="HH69" i="17" s="1"/>
  <c r="GJ64" i="17"/>
  <c r="GN64" i="17" s="1"/>
  <c r="HH64" i="17" s="1"/>
  <c r="GJ73" i="17"/>
  <c r="GN73" i="17" s="1"/>
  <c r="HH73" i="17" s="1"/>
  <c r="GJ68" i="17"/>
  <c r="GN68" i="17" s="1"/>
  <c r="HH68" i="17" s="1"/>
  <c r="HW48" i="17"/>
  <c r="HU49" i="17"/>
  <c r="HZ49" i="17" s="1"/>
  <c r="HQ65" i="17"/>
  <c r="HQ66" i="17"/>
  <c r="HQ70" i="17"/>
  <c r="HQ72" i="17"/>
  <c r="GH67" i="17"/>
  <c r="GI67" i="17" s="1"/>
  <c r="GL68" i="17"/>
  <c r="GL73" i="17"/>
  <c r="GH65" i="17"/>
  <c r="GI65" i="17" s="1"/>
  <c r="GL61" i="17"/>
  <c r="GL59" i="17"/>
  <c r="GH66" i="17"/>
  <c r="GI66" i="17" s="1"/>
  <c r="GL69" i="17"/>
  <c r="HQ58" i="17"/>
  <c r="GH58" i="17"/>
  <c r="GI58" i="17" s="1"/>
  <c r="HQ67" i="17"/>
  <c r="GL71" i="17"/>
  <c r="GL62" i="17"/>
  <c r="HP12" i="17"/>
  <c r="GH74" i="17"/>
  <c r="GI74" i="17" s="1"/>
  <c r="GL74" i="17"/>
  <c r="GL63" i="17"/>
  <c r="GL60" i="17"/>
  <c r="GH70" i="17"/>
  <c r="GI70" i="17" s="1"/>
  <c r="GL64" i="17"/>
  <c r="GH72" i="17"/>
  <c r="GI72" i="17" s="1"/>
  <c r="G101" i="17"/>
  <c r="D101" i="17" s="1"/>
  <c r="GH24" i="17"/>
  <c r="MD48" i="17"/>
  <c r="LY49" i="17"/>
  <c r="ID26" i="17"/>
  <c r="ID27" i="17" s="1"/>
  <c r="GL24" i="17"/>
  <c r="MV24" i="17"/>
  <c r="IS24" i="17"/>
  <c r="GQ24" i="17"/>
  <c r="KU24" i="17"/>
  <c r="MH27" i="17"/>
  <c r="MV26" i="17"/>
  <c r="GQ26" i="17"/>
  <c r="MA48" i="17"/>
  <c r="NC48" i="17" s="1"/>
  <c r="LZ49" i="17"/>
  <c r="MB48" i="17"/>
  <c r="JZ48" i="17"/>
  <c r="JW49" i="17"/>
  <c r="KB49" i="17" s="1"/>
  <c r="JX49" i="17"/>
  <c r="JY48" i="17"/>
  <c r="KF26" i="17"/>
  <c r="KI25" i="17"/>
  <c r="LB25" i="17" s="1"/>
  <c r="LD25" i="17" s="1"/>
  <c r="KU26" i="17"/>
  <c r="IS26" i="17"/>
  <c r="LT49" i="17"/>
  <c r="IL49" i="17"/>
  <c r="FU47" i="17"/>
  <c r="FV46" i="17"/>
  <c r="GX46" i="17" s="1"/>
  <c r="GZ46" i="17" s="1"/>
  <c r="FW46" i="17"/>
  <c r="FT47" i="17"/>
  <c r="FY47" i="17" s="1"/>
  <c r="GH25" i="17"/>
  <c r="GL25" i="17"/>
  <c r="GF26" i="17"/>
  <c r="CL28" i="17"/>
  <c r="CM28" i="17" s="1"/>
  <c r="CO27" i="17"/>
  <c r="D100" i="17"/>
  <c r="GE27" i="17"/>
  <c r="GE28" i="17"/>
  <c r="KP24" i="17" l="1"/>
  <c r="LU24" i="17" s="1"/>
  <c r="NE48" i="17"/>
  <c r="KK24" i="17"/>
  <c r="KJ24" i="17"/>
  <c r="KL24" i="17" s="1"/>
  <c r="KM24" i="17" s="1"/>
  <c r="KR24" i="17" s="1"/>
  <c r="GJ58" i="17"/>
  <c r="GN58" i="17" s="1"/>
  <c r="GO58" i="17" s="1"/>
  <c r="GJ72" i="17"/>
  <c r="GN72" i="17" s="1"/>
  <c r="GO72" i="17" s="1"/>
  <c r="GJ67" i="17"/>
  <c r="HM67" i="17" s="1"/>
  <c r="GJ65" i="17"/>
  <c r="GN65" i="17" s="1"/>
  <c r="GO65" i="17" s="1"/>
  <c r="GJ70" i="17"/>
  <c r="GN70" i="17" s="1"/>
  <c r="GO70" i="17" s="1"/>
  <c r="GJ74" i="17"/>
  <c r="GN74" i="17" s="1"/>
  <c r="GJ66" i="17"/>
  <c r="GN66" i="17" s="1"/>
  <c r="GO66" i="17" s="1"/>
  <c r="GO64" i="17"/>
  <c r="GO71" i="17"/>
  <c r="GO69" i="17"/>
  <c r="GO73" i="17"/>
  <c r="GO60" i="17"/>
  <c r="GO59" i="17"/>
  <c r="GO68" i="17"/>
  <c r="GO63" i="17"/>
  <c r="GO62" i="17"/>
  <c r="GO61" i="17"/>
  <c r="HM73" i="17"/>
  <c r="HM60" i="17"/>
  <c r="HM59" i="17"/>
  <c r="HM68" i="17"/>
  <c r="HM63" i="17"/>
  <c r="HM62" i="17"/>
  <c r="HM61" i="17"/>
  <c r="HM64" i="17"/>
  <c r="HM71" i="17"/>
  <c r="HM69" i="17"/>
  <c r="HW49" i="17"/>
  <c r="HU50" i="17"/>
  <c r="HZ50" i="17" s="1"/>
  <c r="HX49" i="17"/>
  <c r="HQ59" i="17"/>
  <c r="HQ69" i="17"/>
  <c r="HQ68" i="17"/>
  <c r="HQ73" i="17"/>
  <c r="HQ61" i="17"/>
  <c r="HQ62" i="17"/>
  <c r="HQ71" i="17"/>
  <c r="HQ64" i="17"/>
  <c r="HQ74" i="17"/>
  <c r="HQ60" i="17"/>
  <c r="HQ63" i="17"/>
  <c r="HQ25" i="17"/>
  <c r="GI25" i="17"/>
  <c r="MD49" i="17"/>
  <c r="LY50" i="17"/>
  <c r="HQ24" i="17"/>
  <c r="GI24" i="17"/>
  <c r="GJ24" i="17" s="1"/>
  <c r="MH28" i="17"/>
  <c r="MV27" i="17"/>
  <c r="GQ27" i="17"/>
  <c r="LZ50" i="17"/>
  <c r="MA49" i="17"/>
  <c r="NC49" i="17" s="1"/>
  <c r="MB49" i="17"/>
  <c r="IS27" i="17"/>
  <c r="KU27" i="17"/>
  <c r="KK25" i="17"/>
  <c r="KP25" i="17"/>
  <c r="KJ25" i="17"/>
  <c r="JX50" i="17"/>
  <c r="JY49" i="17"/>
  <c r="JW50" i="17"/>
  <c r="KB50" i="17" s="1"/>
  <c r="JZ49" i="17"/>
  <c r="KF27" i="17"/>
  <c r="KI26" i="17"/>
  <c r="LB26" i="17" s="1"/>
  <c r="LD26" i="17" s="1"/>
  <c r="LT50" i="17"/>
  <c r="ID28" i="17"/>
  <c r="IL50" i="17"/>
  <c r="FU48" i="17"/>
  <c r="FV47" i="17"/>
  <c r="GX47" i="17" s="1"/>
  <c r="GZ47" i="17" s="1"/>
  <c r="FW47" i="17"/>
  <c r="FT48" i="17"/>
  <c r="FY48" i="17" s="1"/>
  <c r="GH26" i="17"/>
  <c r="GL26" i="17"/>
  <c r="GF27" i="17"/>
  <c r="CL29" i="17"/>
  <c r="CM29" i="17" s="1"/>
  <c r="CO28" i="17"/>
  <c r="GE29" i="17"/>
  <c r="NE49" i="17" l="1"/>
  <c r="LQ24" i="17"/>
  <c r="KS24" i="17"/>
  <c r="HM70" i="17"/>
  <c r="HM74" i="17"/>
  <c r="GN24" i="17"/>
  <c r="GO24" i="17" s="1"/>
  <c r="GJ25" i="17"/>
  <c r="GN25" i="17" s="1"/>
  <c r="GN67" i="17"/>
  <c r="GO67" i="17" s="1"/>
  <c r="HM72" i="17"/>
  <c r="HM66" i="17"/>
  <c r="HM58" i="17"/>
  <c r="HM65" i="17"/>
  <c r="GO74" i="17"/>
  <c r="HH66" i="17"/>
  <c r="HH65" i="17"/>
  <c r="HH72" i="17"/>
  <c r="HH58" i="17"/>
  <c r="HH70" i="17"/>
  <c r="HW50" i="17"/>
  <c r="HU51" i="17"/>
  <c r="HZ51" i="17" s="1"/>
  <c r="HX50" i="17"/>
  <c r="LU25" i="17"/>
  <c r="LQ25" i="17"/>
  <c r="HQ26" i="17"/>
  <c r="GI26" i="17"/>
  <c r="LL24" i="17"/>
  <c r="MD50" i="17"/>
  <c r="LY51" i="17"/>
  <c r="MH29" i="17"/>
  <c r="MV28" i="17"/>
  <c r="GQ28" i="17"/>
  <c r="LZ51" i="17"/>
  <c r="MA50" i="17"/>
  <c r="NC50" i="17" s="1"/>
  <c r="MB50" i="17"/>
  <c r="JW51" i="17"/>
  <c r="KB51" i="17" s="1"/>
  <c r="JZ50" i="17"/>
  <c r="KK26" i="17"/>
  <c r="KJ26" i="17"/>
  <c r="KP26" i="17"/>
  <c r="KF28" i="17"/>
  <c r="KI27" i="17"/>
  <c r="LB27" i="17" s="1"/>
  <c r="LD27" i="17" s="1"/>
  <c r="JX51" i="17"/>
  <c r="JY50" i="17"/>
  <c r="KU28" i="17"/>
  <c r="IS28" i="17"/>
  <c r="KL25" i="17"/>
  <c r="KM25" i="17" s="1"/>
  <c r="KR25" i="17" s="1"/>
  <c r="LT51" i="17"/>
  <c r="ID29" i="17"/>
  <c r="IL51" i="17"/>
  <c r="FW48" i="17"/>
  <c r="FT49" i="17"/>
  <c r="FY49" i="17" s="1"/>
  <c r="FU49" i="17"/>
  <c r="FV48" i="17"/>
  <c r="GX48" i="17" s="1"/>
  <c r="GZ48" i="17" s="1"/>
  <c r="GH27" i="17"/>
  <c r="GL27" i="17"/>
  <c r="GF28" i="17"/>
  <c r="CL30" i="17"/>
  <c r="CM30" i="17" s="1"/>
  <c r="CO29" i="17"/>
  <c r="GE30" i="17"/>
  <c r="NE50" i="17" l="1"/>
  <c r="GJ26" i="17"/>
  <c r="GN26" i="17" s="1"/>
  <c r="GO26" i="17" s="1"/>
  <c r="HX51" i="17"/>
  <c r="HH74" i="17"/>
  <c r="HH67" i="17"/>
  <c r="HM24" i="17"/>
  <c r="HM25" i="17"/>
  <c r="GO25" i="17"/>
  <c r="HW51" i="17"/>
  <c r="HU52" i="17"/>
  <c r="HZ52" i="17" s="1"/>
  <c r="LU26" i="17"/>
  <c r="LQ26" i="17"/>
  <c r="HQ27" i="17"/>
  <c r="GI27" i="17"/>
  <c r="KS25" i="17"/>
  <c r="LL25" i="17"/>
  <c r="MD51" i="17"/>
  <c r="LY52" i="17"/>
  <c r="MH30" i="17"/>
  <c r="GQ29" i="17"/>
  <c r="MV29" i="17"/>
  <c r="MA51" i="17"/>
  <c r="NC51" i="17" s="1"/>
  <c r="LZ52" i="17"/>
  <c r="MB51" i="17"/>
  <c r="JX52" i="17"/>
  <c r="JY51" i="17"/>
  <c r="KK27" i="17"/>
  <c r="KP27" i="17"/>
  <c r="KJ27" i="17"/>
  <c r="KL26" i="17"/>
  <c r="KM26" i="17" s="1"/>
  <c r="KR26" i="17" s="1"/>
  <c r="JZ51" i="17"/>
  <c r="JW52" i="17"/>
  <c r="KB52" i="17" s="1"/>
  <c r="IS29" i="17"/>
  <c r="KU29" i="17"/>
  <c r="KF29" i="17"/>
  <c r="KI28" i="17"/>
  <c r="LB28" i="17" s="1"/>
  <c r="LD28" i="17" s="1"/>
  <c r="LT52" i="17"/>
  <c r="ID30" i="17"/>
  <c r="IL52" i="17"/>
  <c r="FU50" i="17"/>
  <c r="FV49" i="17"/>
  <c r="GX49" i="17" s="1"/>
  <c r="GZ49" i="17" s="1"/>
  <c r="FW49" i="17"/>
  <c r="FT50" i="17"/>
  <c r="FY50" i="17" s="1"/>
  <c r="GH28" i="17"/>
  <c r="GL28" i="17"/>
  <c r="GF29" i="17"/>
  <c r="CL31" i="17"/>
  <c r="CM31" i="17" s="1"/>
  <c r="CO30" i="17"/>
  <c r="GE31" i="17"/>
  <c r="NE51" i="17" l="1"/>
  <c r="HM26" i="17"/>
  <c r="GJ27" i="17"/>
  <c r="GN27" i="17" s="1"/>
  <c r="GO27" i="17" s="1"/>
  <c r="HU53" i="17"/>
  <c r="HZ53" i="17" s="1"/>
  <c r="HW52" i="17"/>
  <c r="HX52" i="17"/>
  <c r="LU27" i="17"/>
  <c r="LQ27" i="17"/>
  <c r="HQ28" i="17"/>
  <c r="GI28" i="17"/>
  <c r="HH26" i="17"/>
  <c r="HH24" i="17"/>
  <c r="HH25" i="17"/>
  <c r="KS26" i="17"/>
  <c r="LL26" i="17"/>
  <c r="MD52" i="17"/>
  <c r="LY53" i="17"/>
  <c r="MH31" i="17"/>
  <c r="MV30" i="17"/>
  <c r="GQ30" i="17"/>
  <c r="MA52" i="17"/>
  <c r="NC52" i="17" s="1"/>
  <c r="LZ53" i="17"/>
  <c r="MB52" i="17"/>
  <c r="KF30" i="17"/>
  <c r="KI29" i="17"/>
  <c r="LB29" i="17" s="1"/>
  <c r="LD29" i="17" s="1"/>
  <c r="JX53" i="17"/>
  <c r="JY52" i="17"/>
  <c r="KU30" i="17"/>
  <c r="IS30" i="17"/>
  <c r="KK28" i="17"/>
  <c r="KP28" i="17"/>
  <c r="KJ28" i="17"/>
  <c r="JZ52" i="17"/>
  <c r="JW53" i="17"/>
  <c r="KB53" i="17" s="1"/>
  <c r="KL27" i="17"/>
  <c r="KM27" i="17" s="1"/>
  <c r="KR27" i="17" s="1"/>
  <c r="LT53" i="17"/>
  <c r="ID31" i="17"/>
  <c r="IL53" i="17"/>
  <c r="FU51" i="17"/>
  <c r="FV50" i="17"/>
  <c r="GX50" i="17" s="1"/>
  <c r="GZ50" i="17" s="1"/>
  <c r="FW50" i="17"/>
  <c r="FT51" i="17"/>
  <c r="FY51" i="17" s="1"/>
  <c r="GH29" i="17"/>
  <c r="GL29" i="17"/>
  <c r="GF30" i="17"/>
  <c r="CL32" i="17"/>
  <c r="CM32" i="17" s="1"/>
  <c r="CO31" i="17"/>
  <c r="GE32" i="17"/>
  <c r="NE52" i="17" l="1"/>
  <c r="HM27" i="17"/>
  <c r="GJ28" i="17"/>
  <c r="HM28" i="17" s="1"/>
  <c r="HX53" i="17"/>
  <c r="HU54" i="17"/>
  <c r="HZ54" i="17" s="1"/>
  <c r="HW53" i="17"/>
  <c r="LU28" i="17"/>
  <c r="LQ28" i="17"/>
  <c r="HH27" i="17"/>
  <c r="HQ29" i="17"/>
  <c r="GI29" i="17"/>
  <c r="KS27" i="17"/>
  <c r="LL27" i="17"/>
  <c r="MD53" i="17"/>
  <c r="LY54" i="17"/>
  <c r="MH32" i="17"/>
  <c r="MV31" i="17"/>
  <c r="GQ31" i="17"/>
  <c r="LZ54" i="17"/>
  <c r="MA53" i="17"/>
  <c r="NC53" i="17" s="1"/>
  <c r="MB53" i="17"/>
  <c r="JW54" i="17"/>
  <c r="KB54" i="17" s="1"/>
  <c r="JZ53" i="17"/>
  <c r="KK29" i="17"/>
  <c r="KJ29" i="17"/>
  <c r="KP29" i="17"/>
  <c r="IS31" i="17"/>
  <c r="KU31" i="17"/>
  <c r="JX54" i="17"/>
  <c r="JY53" i="17"/>
  <c r="KF31" i="17"/>
  <c r="KI30" i="17"/>
  <c r="LB30" i="17" s="1"/>
  <c r="LD30" i="17" s="1"/>
  <c r="KL28" i="17"/>
  <c r="KM28" i="17" s="1"/>
  <c r="KR28" i="17" s="1"/>
  <c r="LT54" i="17"/>
  <c r="ID32" i="17"/>
  <c r="IL54" i="17"/>
  <c r="FU52" i="17"/>
  <c r="FV51" i="17"/>
  <c r="GX51" i="17" s="1"/>
  <c r="GZ51" i="17" s="1"/>
  <c r="FW51" i="17"/>
  <c r="FT52" i="17"/>
  <c r="FY52" i="17" s="1"/>
  <c r="GH30" i="17"/>
  <c r="GL30" i="17"/>
  <c r="GF31" i="17"/>
  <c r="CL33" i="17"/>
  <c r="CM33" i="17" s="1"/>
  <c r="CO32" i="17"/>
  <c r="GE33" i="17"/>
  <c r="NE53" i="17" l="1"/>
  <c r="GN28" i="17"/>
  <c r="GO28" i="17" s="1"/>
  <c r="GJ29" i="17"/>
  <c r="GN29" i="17" s="1"/>
  <c r="GO29" i="17" s="1"/>
  <c r="HU55" i="17"/>
  <c r="HZ55" i="17" s="1"/>
  <c r="HX54" i="17"/>
  <c r="HW54" i="17"/>
  <c r="LU29" i="17"/>
  <c r="LQ29" i="17"/>
  <c r="HQ30" i="17"/>
  <c r="GI30" i="17"/>
  <c r="KS28" i="17"/>
  <c r="LL28" i="17"/>
  <c r="MD54" i="17"/>
  <c r="LY55" i="17"/>
  <c r="MH33" i="17"/>
  <c r="MV32" i="17"/>
  <c r="GQ32" i="17"/>
  <c r="LZ55" i="17"/>
  <c r="MA54" i="17"/>
  <c r="NC54" i="17" s="1"/>
  <c r="MB54" i="17"/>
  <c r="KF32" i="17"/>
  <c r="KI31" i="17"/>
  <c r="LB31" i="17" s="1"/>
  <c r="LD31" i="17" s="1"/>
  <c r="KU32" i="17"/>
  <c r="IS32" i="17"/>
  <c r="JZ54" i="17"/>
  <c r="JW55" i="17"/>
  <c r="KB55" i="17" s="1"/>
  <c r="JY54" i="17"/>
  <c r="JX55" i="17"/>
  <c r="KL29" i="17"/>
  <c r="KM29" i="17" s="1"/>
  <c r="KR29" i="17" s="1"/>
  <c r="KP30" i="17"/>
  <c r="KK30" i="17"/>
  <c r="KJ30" i="17"/>
  <c r="LT55" i="17"/>
  <c r="ID33" i="17"/>
  <c r="IL55" i="17"/>
  <c r="FU53" i="17"/>
  <c r="FV52" i="17"/>
  <c r="GX52" i="17" s="1"/>
  <c r="GZ52" i="17" s="1"/>
  <c r="FW52" i="17"/>
  <c r="FT53" i="17"/>
  <c r="FY53" i="17" s="1"/>
  <c r="GH31" i="17"/>
  <c r="GL31" i="17"/>
  <c r="GF32" i="17"/>
  <c r="CL34" i="17"/>
  <c r="CM34" i="17" s="1"/>
  <c r="CO33" i="17"/>
  <c r="GE34" i="17"/>
  <c r="NE54" i="17" l="1"/>
  <c r="HM29" i="17"/>
  <c r="GJ30" i="17"/>
  <c r="HM30" i="17" s="1"/>
  <c r="HH28" i="17"/>
  <c r="HX55" i="17"/>
  <c r="HW55" i="17"/>
  <c r="HU56" i="17"/>
  <c r="HZ56" i="17" s="1"/>
  <c r="LU30" i="17"/>
  <c r="LQ30" i="17"/>
  <c r="HQ31" i="17"/>
  <c r="GI31" i="17"/>
  <c r="HH29" i="17"/>
  <c r="KS29" i="17"/>
  <c r="LL29" i="17"/>
  <c r="MD55" i="17"/>
  <c r="LY56" i="17"/>
  <c r="MH34" i="17"/>
  <c r="MV33" i="17"/>
  <c r="GQ33" i="17"/>
  <c r="LZ56" i="17"/>
  <c r="MA55" i="17"/>
  <c r="NC55" i="17" s="1"/>
  <c r="MB55" i="17"/>
  <c r="JW56" i="17"/>
  <c r="KB56" i="17" s="1"/>
  <c r="JZ55" i="17"/>
  <c r="KU33" i="17"/>
  <c r="IS33" i="17"/>
  <c r="KF33" i="17"/>
  <c r="KI32" i="17"/>
  <c r="LB32" i="17" s="1"/>
  <c r="LD32" i="17" s="1"/>
  <c r="KL30" i="17"/>
  <c r="KM30" i="17" s="1"/>
  <c r="KR30" i="17" s="1"/>
  <c r="JX56" i="17"/>
  <c r="JY55" i="17"/>
  <c r="KK31" i="17"/>
  <c r="KP31" i="17"/>
  <c r="KJ31" i="17"/>
  <c r="LT56" i="17"/>
  <c r="ID34" i="17"/>
  <c r="IL56" i="17"/>
  <c r="FU54" i="17"/>
  <c r="FV53" i="17"/>
  <c r="GX53" i="17" s="1"/>
  <c r="GZ53" i="17" s="1"/>
  <c r="FW53" i="17"/>
  <c r="FT54" i="17"/>
  <c r="FY54" i="17" s="1"/>
  <c r="GH32" i="17"/>
  <c r="GL32" i="17"/>
  <c r="GF33" i="17"/>
  <c r="CL35" i="17"/>
  <c r="CM35" i="17" s="1"/>
  <c r="CO34" i="17"/>
  <c r="GE35" i="17"/>
  <c r="NE55" i="17" l="1"/>
  <c r="GN30" i="17"/>
  <c r="GO30" i="17" s="1"/>
  <c r="GJ31" i="17"/>
  <c r="GN31" i="17" s="1"/>
  <c r="GO31" i="17" s="1"/>
  <c r="HW56" i="17"/>
  <c r="HX56" i="17"/>
  <c r="HU57" i="17"/>
  <c r="HU58" i="17" s="1"/>
  <c r="LU31" i="17"/>
  <c r="LQ31" i="17"/>
  <c r="HQ32" i="17"/>
  <c r="LT58" i="17"/>
  <c r="GI32" i="17"/>
  <c r="KS30" i="17"/>
  <c r="LL30" i="17"/>
  <c r="MD56" i="17"/>
  <c r="LY57" i="17"/>
  <c r="MH35" i="17"/>
  <c r="MV34" i="17"/>
  <c r="GQ34" i="17"/>
  <c r="LZ57" i="17"/>
  <c r="LZ58" i="17" s="1"/>
  <c r="LZ59" i="17" s="1"/>
  <c r="LZ60" i="17" s="1"/>
  <c r="LZ61" i="17" s="1"/>
  <c r="LZ62" i="17" s="1"/>
  <c r="LZ63" i="17" s="1"/>
  <c r="LZ64" i="17" s="1"/>
  <c r="LZ65" i="17" s="1"/>
  <c r="LZ66" i="17" s="1"/>
  <c r="LZ67" i="17" s="1"/>
  <c r="LZ68" i="17" s="1"/>
  <c r="LZ69" i="17" s="1"/>
  <c r="LZ70" i="17" s="1"/>
  <c r="LZ71" i="17" s="1"/>
  <c r="LZ72" i="17" s="1"/>
  <c r="LZ73" i="17" s="1"/>
  <c r="LZ74" i="17" s="1"/>
  <c r="MA56" i="17"/>
  <c r="NC56" i="17" s="1"/>
  <c r="MB56" i="17"/>
  <c r="KL31" i="17"/>
  <c r="KM31" i="17" s="1"/>
  <c r="KR31" i="17" s="1"/>
  <c r="JY56" i="17"/>
  <c r="JX57" i="17"/>
  <c r="JX58" i="17" s="1"/>
  <c r="JX59" i="17" s="1"/>
  <c r="JX60" i="17" s="1"/>
  <c r="JX61" i="17" s="1"/>
  <c r="JX62" i="17" s="1"/>
  <c r="JX63" i="17" s="1"/>
  <c r="JX64" i="17" s="1"/>
  <c r="JX65" i="17" s="1"/>
  <c r="JX66" i="17" s="1"/>
  <c r="JX67" i="17" s="1"/>
  <c r="JX68" i="17" s="1"/>
  <c r="JX69" i="17" s="1"/>
  <c r="JX70" i="17" s="1"/>
  <c r="JX71" i="17" s="1"/>
  <c r="JX72" i="17" s="1"/>
  <c r="JX73" i="17" s="1"/>
  <c r="JX74" i="17" s="1"/>
  <c r="KK32" i="17"/>
  <c r="KP32" i="17"/>
  <c r="KJ32" i="17"/>
  <c r="JZ56" i="17"/>
  <c r="JW57" i="17"/>
  <c r="KU34" i="17"/>
  <c r="IS34" i="17"/>
  <c r="KF34" i="17"/>
  <c r="KI33" i="17"/>
  <c r="LB33" i="17" s="1"/>
  <c r="LD33" i="17" s="1"/>
  <c r="LT57" i="17"/>
  <c r="ID35" i="17"/>
  <c r="IL57" i="17"/>
  <c r="IL58" i="17" s="1"/>
  <c r="FU55" i="17"/>
  <c r="FV54" i="17"/>
  <c r="GX54" i="17" s="1"/>
  <c r="GZ54" i="17" s="1"/>
  <c r="FW54" i="17"/>
  <c r="FT55" i="17"/>
  <c r="FY55" i="17" s="1"/>
  <c r="GH33" i="17"/>
  <c r="GL33" i="17"/>
  <c r="GF34" i="17"/>
  <c r="CL36" i="17"/>
  <c r="CM36" i="17" s="1"/>
  <c r="CO35" i="17"/>
  <c r="GE36" i="17"/>
  <c r="NE56" i="17" l="1"/>
  <c r="HM31" i="17"/>
  <c r="GJ32" i="17"/>
  <c r="HM32" i="17" s="1"/>
  <c r="HH30" i="17"/>
  <c r="HZ57" i="17"/>
  <c r="HW57" i="17"/>
  <c r="HX57" i="17"/>
  <c r="LU32" i="17"/>
  <c r="LQ32" i="17"/>
  <c r="HQ33" i="17"/>
  <c r="LT59" i="17"/>
  <c r="IL59" i="17"/>
  <c r="KB57" i="17"/>
  <c r="JW58" i="17"/>
  <c r="MD57" i="17"/>
  <c r="LY58" i="17"/>
  <c r="HW58" i="17"/>
  <c r="HX58" i="17"/>
  <c r="HU59" i="17"/>
  <c r="HZ58" i="17"/>
  <c r="GI33" i="17"/>
  <c r="HH31" i="17"/>
  <c r="KS31" i="17"/>
  <c r="LL31" i="17"/>
  <c r="MH36" i="17"/>
  <c r="GQ35" i="17"/>
  <c r="MV35" i="17"/>
  <c r="MA57" i="17"/>
  <c r="NC57" i="17" s="1"/>
  <c r="MB57" i="17"/>
  <c r="JY57" i="17"/>
  <c r="KF35" i="17"/>
  <c r="KI34" i="17"/>
  <c r="LB34" i="17" s="1"/>
  <c r="LD34" i="17" s="1"/>
  <c r="KL32" i="17"/>
  <c r="KM32" i="17" s="1"/>
  <c r="KR32" i="17" s="1"/>
  <c r="IS35" i="17"/>
  <c r="KU35" i="17"/>
  <c r="JZ57" i="17"/>
  <c r="KK33" i="17"/>
  <c r="KJ33" i="17"/>
  <c r="KP33" i="17"/>
  <c r="ID36" i="17"/>
  <c r="FU56" i="17"/>
  <c r="FV55" i="17"/>
  <c r="GX55" i="17" s="1"/>
  <c r="GZ55" i="17" s="1"/>
  <c r="FW55" i="17"/>
  <c r="FT56" i="17"/>
  <c r="FY56" i="17" s="1"/>
  <c r="GH34" i="17"/>
  <c r="GL34" i="17"/>
  <c r="GF35" i="17"/>
  <c r="CL37" i="17"/>
  <c r="CM37" i="17" s="1"/>
  <c r="CO36" i="17"/>
  <c r="GE37" i="17"/>
  <c r="NE57" i="17" l="1"/>
  <c r="GJ33" i="17"/>
  <c r="HM33" i="17" s="1"/>
  <c r="GN32" i="17"/>
  <c r="GO32" i="17" s="1"/>
  <c r="LU33" i="17"/>
  <c r="LQ33" i="17"/>
  <c r="HQ34" i="17"/>
  <c r="LT60" i="17"/>
  <c r="IL60" i="17"/>
  <c r="MA58" i="17"/>
  <c r="NC58" i="17" s="1"/>
  <c r="LY59" i="17"/>
  <c r="MD58" i="17"/>
  <c r="MB58" i="17"/>
  <c r="HW59" i="17"/>
  <c r="HZ59" i="17"/>
  <c r="HX59" i="17"/>
  <c r="HU60" i="17"/>
  <c r="JY58" i="17"/>
  <c r="JW59" i="17"/>
  <c r="KB58" i="17"/>
  <c r="JZ58" i="17"/>
  <c r="GI34" i="17"/>
  <c r="KS32" i="17"/>
  <c r="LL32" i="17"/>
  <c r="MH37" i="17"/>
  <c r="MV36" i="17"/>
  <c r="GQ36" i="17"/>
  <c r="KL33" i="17"/>
  <c r="KM33" i="17" s="1"/>
  <c r="KR33" i="17" s="1"/>
  <c r="KK34" i="17"/>
  <c r="KJ34" i="17"/>
  <c r="KP34" i="17"/>
  <c r="IS36" i="17"/>
  <c r="KU36" i="17"/>
  <c r="KF36" i="17"/>
  <c r="KI35" i="17"/>
  <c r="LB35" i="17" s="1"/>
  <c r="LD35" i="17" s="1"/>
  <c r="ID37" i="17"/>
  <c r="FU57" i="17"/>
  <c r="FU58" i="17" s="1"/>
  <c r="FV56" i="17"/>
  <c r="GX56" i="17" s="1"/>
  <c r="GZ56" i="17" s="1"/>
  <c r="FW56" i="17"/>
  <c r="FT57" i="17"/>
  <c r="GH35" i="17"/>
  <c r="GL35" i="17"/>
  <c r="GF36" i="17"/>
  <c r="CL38" i="17"/>
  <c r="CM38" i="17" s="1"/>
  <c r="CO37" i="17"/>
  <c r="GE38" i="17"/>
  <c r="NE58" i="17" l="1"/>
  <c r="HH32" i="17"/>
  <c r="GN33" i="17"/>
  <c r="GO33" i="17" s="1"/>
  <c r="GJ34" i="17"/>
  <c r="GN34" i="17" s="1"/>
  <c r="GO34" i="17" s="1"/>
  <c r="LU34" i="17"/>
  <c r="LQ34" i="17"/>
  <c r="FY57" i="17"/>
  <c r="FT58" i="17"/>
  <c r="FV58" i="17" s="1"/>
  <c r="GX58" i="17" s="1"/>
  <c r="FU59" i="17"/>
  <c r="HQ35" i="17"/>
  <c r="LT61" i="17"/>
  <c r="IL61" i="17"/>
  <c r="HX60" i="17"/>
  <c r="HU61" i="17"/>
  <c r="HZ60" i="17"/>
  <c r="HW60" i="17"/>
  <c r="MA59" i="17"/>
  <c r="NC59" i="17" s="1"/>
  <c r="MD59" i="17"/>
  <c r="MB59" i="17"/>
  <c r="LY60" i="17"/>
  <c r="JY59" i="17"/>
  <c r="KB59" i="17"/>
  <c r="JW60" i="17"/>
  <c r="JZ59" i="17"/>
  <c r="GI35" i="17"/>
  <c r="KS33" i="17"/>
  <c r="LL33" i="17"/>
  <c r="MH38" i="17"/>
  <c r="MV37" i="17"/>
  <c r="GQ37" i="17"/>
  <c r="KU37" i="17"/>
  <c r="IS37" i="17"/>
  <c r="KK35" i="17"/>
  <c r="KP35" i="17"/>
  <c r="KJ35" i="17"/>
  <c r="KL34" i="17"/>
  <c r="KM34" i="17" s="1"/>
  <c r="KR34" i="17" s="1"/>
  <c r="KF37" i="17"/>
  <c r="KI36" i="17"/>
  <c r="LB36" i="17" s="1"/>
  <c r="LD36" i="17" s="1"/>
  <c r="ID38" i="17"/>
  <c r="FV57" i="17"/>
  <c r="GX57" i="17" s="1"/>
  <c r="GZ57" i="17" s="1"/>
  <c r="FW57" i="17"/>
  <c r="GH36" i="17"/>
  <c r="GL36" i="17"/>
  <c r="GF37" i="17"/>
  <c r="CL39" i="17"/>
  <c r="CM39" i="17" s="1"/>
  <c r="CO38" i="17"/>
  <c r="GE39" i="17"/>
  <c r="NE59" i="17" l="1"/>
  <c r="HM34" i="17"/>
  <c r="GJ35" i="17"/>
  <c r="HM35" i="17" s="1"/>
  <c r="HH33" i="17"/>
  <c r="LU35" i="17"/>
  <c r="LQ35" i="17"/>
  <c r="FU60" i="17"/>
  <c r="FW58" i="17"/>
  <c r="FY58" i="17"/>
  <c r="GZ58" i="17" s="1"/>
  <c r="FT59" i="17"/>
  <c r="HQ36" i="17"/>
  <c r="LT62" i="17"/>
  <c r="IL62" i="17"/>
  <c r="HH34" i="17"/>
  <c r="JZ60" i="17"/>
  <c r="JW61" i="17"/>
  <c r="JY60" i="17"/>
  <c r="KB60" i="17"/>
  <c r="LY61" i="17"/>
  <c r="MB60" i="17"/>
  <c r="MA60" i="17"/>
  <c r="NC60" i="17" s="1"/>
  <c r="MD60" i="17"/>
  <c r="HW61" i="17"/>
  <c r="HX61" i="17"/>
  <c r="HZ61" i="17"/>
  <c r="HU62" i="17"/>
  <c r="GI36" i="17"/>
  <c r="KS34" i="17"/>
  <c r="LL34" i="17"/>
  <c r="MH39" i="17"/>
  <c r="MV38" i="17"/>
  <c r="GQ38" i="17"/>
  <c r="KL35" i="17"/>
  <c r="KM35" i="17" s="1"/>
  <c r="KR35" i="17" s="1"/>
  <c r="KU38" i="17"/>
  <c r="IS38" i="17"/>
  <c r="KF38" i="17"/>
  <c r="KI37" i="17"/>
  <c r="LB37" i="17" s="1"/>
  <c r="LD37" i="17" s="1"/>
  <c r="KK36" i="17"/>
  <c r="KP36" i="17"/>
  <c r="KJ36" i="17"/>
  <c r="ID39" i="17"/>
  <c r="GH37" i="17"/>
  <c r="GL37" i="17"/>
  <c r="GF38" i="17"/>
  <c r="CL40" i="17"/>
  <c r="CM40" i="17" s="1"/>
  <c r="CO39" i="17"/>
  <c r="GE40" i="17"/>
  <c r="NE60" i="17" l="1"/>
  <c r="GN35" i="17"/>
  <c r="GO35" i="17" s="1"/>
  <c r="GJ36" i="17"/>
  <c r="GN36" i="17" s="1"/>
  <c r="GO36" i="17" s="1"/>
  <c r="LU36" i="17"/>
  <c r="LQ36" i="17"/>
  <c r="FU61" i="17"/>
  <c r="FY59" i="17"/>
  <c r="FT60" i="17"/>
  <c r="FW59" i="17"/>
  <c r="FV59" i="17"/>
  <c r="GX59" i="17" s="1"/>
  <c r="HQ37" i="17"/>
  <c r="LT63" i="17"/>
  <c r="IL63" i="17"/>
  <c r="HZ62" i="17"/>
  <c r="HU63" i="17"/>
  <c r="HX62" i="17"/>
  <c r="HW62" i="17"/>
  <c r="MA61" i="17"/>
  <c r="NC61" i="17" s="1"/>
  <c r="MD61" i="17"/>
  <c r="LY62" i="17"/>
  <c r="MB61" i="17"/>
  <c r="KB61" i="17"/>
  <c r="JZ61" i="17"/>
  <c r="JY61" i="17"/>
  <c r="JW62" i="17"/>
  <c r="GI37" i="17"/>
  <c r="KS35" i="17"/>
  <c r="LL35" i="17"/>
  <c r="MH40" i="17"/>
  <c r="GQ39" i="17"/>
  <c r="MV39" i="17"/>
  <c r="KK37" i="17"/>
  <c r="KP37" i="17"/>
  <c r="KJ37" i="17"/>
  <c r="KU39" i="17"/>
  <c r="IS39" i="17"/>
  <c r="KF39" i="17"/>
  <c r="KI38" i="17"/>
  <c r="LB38" i="17" s="1"/>
  <c r="LD38" i="17" s="1"/>
  <c r="KL36" i="17"/>
  <c r="KM36" i="17" s="1"/>
  <c r="KR36" i="17" s="1"/>
  <c r="ID40" i="17"/>
  <c r="GH38" i="17"/>
  <c r="GL38" i="17"/>
  <c r="GF39" i="17"/>
  <c r="CL41" i="17"/>
  <c r="CM41" i="17" s="1"/>
  <c r="CO40" i="17"/>
  <c r="GE41" i="17"/>
  <c r="GZ59" i="17" l="1"/>
  <c r="NE61" i="17"/>
  <c r="HM36" i="17"/>
  <c r="GJ37" i="17"/>
  <c r="GN37" i="17" s="1"/>
  <c r="HH35" i="17"/>
  <c r="LU37" i="17"/>
  <c r="LQ37" i="17"/>
  <c r="FY60" i="17"/>
  <c r="FT61" i="17"/>
  <c r="FV61" i="17" s="1"/>
  <c r="GX61" i="17" s="1"/>
  <c r="FW60" i="17"/>
  <c r="FV60" i="17"/>
  <c r="GX60" i="17" s="1"/>
  <c r="FU62" i="17"/>
  <c r="HH36" i="17"/>
  <c r="HQ38" i="17"/>
  <c r="LT64" i="17"/>
  <c r="IL64" i="17"/>
  <c r="JY62" i="17"/>
  <c r="JZ62" i="17"/>
  <c r="JW63" i="17"/>
  <c r="KB62" i="17"/>
  <c r="MA62" i="17"/>
  <c r="NC62" i="17" s="1"/>
  <c r="MB62" i="17"/>
  <c r="MD62" i="17"/>
  <c r="LY63" i="17"/>
  <c r="HW63" i="17"/>
  <c r="HU64" i="17"/>
  <c r="HX63" i="17"/>
  <c r="HZ63" i="17"/>
  <c r="GI38" i="17"/>
  <c r="KS36" i="17"/>
  <c r="LL36" i="17"/>
  <c r="MH41" i="17"/>
  <c r="MV40" i="17"/>
  <c r="GQ40" i="17"/>
  <c r="KK38" i="17"/>
  <c r="KJ38" i="17"/>
  <c r="KP38" i="17"/>
  <c r="KL37" i="17"/>
  <c r="KM37" i="17" s="1"/>
  <c r="KR37" i="17" s="1"/>
  <c r="KU40" i="17"/>
  <c r="IS40" i="17"/>
  <c r="KF40" i="17"/>
  <c r="KI39" i="17"/>
  <c r="LB39" i="17" s="1"/>
  <c r="LD39" i="17" s="1"/>
  <c r="ID41" i="17"/>
  <c r="GH39" i="17"/>
  <c r="GL39" i="17"/>
  <c r="GF40" i="17"/>
  <c r="CL42" i="17"/>
  <c r="CM42" i="17" s="1"/>
  <c r="CO41" i="17"/>
  <c r="GE42" i="17"/>
  <c r="GZ60" i="17" l="1"/>
  <c r="NE62" i="17"/>
  <c r="GJ38" i="17"/>
  <c r="GN38" i="17" s="1"/>
  <c r="HM37" i="17"/>
  <c r="GO37" i="17"/>
  <c r="LU38" i="17"/>
  <c r="LQ38" i="17"/>
  <c r="FT62" i="17"/>
  <c r="FV62" i="17" s="1"/>
  <c r="GX62" i="17" s="1"/>
  <c r="FY61" i="17"/>
  <c r="GZ61" i="17" s="1"/>
  <c r="FW61" i="17"/>
  <c r="FU63" i="17"/>
  <c r="HQ39" i="17"/>
  <c r="LT65" i="17"/>
  <c r="IL65" i="17"/>
  <c r="MB63" i="17"/>
  <c r="LY64" i="17"/>
  <c r="MA63" i="17"/>
  <c r="NC63" i="17" s="1"/>
  <c r="MD63" i="17"/>
  <c r="JY63" i="17"/>
  <c r="JZ63" i="17"/>
  <c r="JW64" i="17"/>
  <c r="KB63" i="17"/>
  <c r="HZ64" i="17"/>
  <c r="HX64" i="17"/>
  <c r="HW64" i="17"/>
  <c r="HU65" i="17"/>
  <c r="GI39" i="17"/>
  <c r="KS37" i="17"/>
  <c r="LL37" i="17"/>
  <c r="MH42" i="17"/>
  <c r="GQ41" i="17"/>
  <c r="MV41" i="17"/>
  <c r="IS41" i="17"/>
  <c r="KU41" i="17"/>
  <c r="KF41" i="17"/>
  <c r="KI40" i="17"/>
  <c r="LB40" i="17" s="1"/>
  <c r="LD40" i="17" s="1"/>
  <c r="KL38" i="17"/>
  <c r="KM38" i="17" s="1"/>
  <c r="KR38" i="17" s="1"/>
  <c r="KP39" i="17"/>
  <c r="KK39" i="17"/>
  <c r="KJ39" i="17"/>
  <c r="ID42" i="17"/>
  <c r="GH40" i="17"/>
  <c r="GL40" i="17"/>
  <c r="GF41" i="17"/>
  <c r="CL43" i="17"/>
  <c r="CM43" i="17" s="1"/>
  <c r="CO42" i="17"/>
  <c r="GE43" i="17"/>
  <c r="NE63" i="17" l="1"/>
  <c r="GJ39" i="17"/>
  <c r="GN39" i="17" s="1"/>
  <c r="HM38" i="17"/>
  <c r="GO38" i="17"/>
  <c r="LU39" i="17"/>
  <c r="LQ39" i="17"/>
  <c r="FT63" i="17"/>
  <c r="FY62" i="17"/>
  <c r="GZ62" i="17" s="1"/>
  <c r="FW62" i="17"/>
  <c r="FU64" i="17"/>
  <c r="HQ40" i="17"/>
  <c r="LT66" i="17"/>
  <c r="IL66" i="17"/>
  <c r="KB64" i="17"/>
  <c r="JZ64" i="17"/>
  <c r="JW65" i="17"/>
  <c r="JY64" i="17"/>
  <c r="HX65" i="17"/>
  <c r="HW65" i="17"/>
  <c r="HU66" i="17"/>
  <c r="HZ65" i="17"/>
  <c r="LY65" i="17"/>
  <c r="MA64" i="17"/>
  <c r="NC64" i="17" s="1"/>
  <c r="MD64" i="17"/>
  <c r="MB64" i="17"/>
  <c r="GI40" i="17"/>
  <c r="HH37" i="17"/>
  <c r="KS38" i="17"/>
  <c r="LL38" i="17"/>
  <c r="MH43" i="17"/>
  <c r="MV42" i="17"/>
  <c r="GQ42" i="17"/>
  <c r="KU42" i="17"/>
  <c r="IS42" i="17"/>
  <c r="KK40" i="17"/>
  <c r="KP40" i="17"/>
  <c r="KJ40" i="17"/>
  <c r="KF42" i="17"/>
  <c r="KI41" i="17"/>
  <c r="LB41" i="17" s="1"/>
  <c r="LD41" i="17" s="1"/>
  <c r="KL39" i="17"/>
  <c r="KM39" i="17" s="1"/>
  <c r="KR39" i="17" s="1"/>
  <c r="ID43" i="17"/>
  <c r="GH41" i="17"/>
  <c r="GL41" i="17"/>
  <c r="GF42" i="17"/>
  <c r="CL44" i="17"/>
  <c r="CM44" i="17" s="1"/>
  <c r="CO43" i="17"/>
  <c r="GE44" i="17"/>
  <c r="NE64" i="17" l="1"/>
  <c r="GJ40" i="17"/>
  <c r="HM40" i="17" s="1"/>
  <c r="HM39" i="17"/>
  <c r="GO39" i="17"/>
  <c r="LU40" i="17"/>
  <c r="LQ40" i="17"/>
  <c r="FU65" i="17"/>
  <c r="FT64" i="17"/>
  <c r="FV64" i="17" s="1"/>
  <c r="GX64" i="17" s="1"/>
  <c r="FY63" i="17"/>
  <c r="FW63" i="17"/>
  <c r="FV63" i="17"/>
  <c r="GX63" i="17" s="1"/>
  <c r="HQ41" i="17"/>
  <c r="LT67" i="17"/>
  <c r="IL67" i="17"/>
  <c r="MB65" i="17"/>
  <c r="LY66" i="17"/>
  <c r="MD65" i="17"/>
  <c r="MA65" i="17"/>
  <c r="NC65" i="17" s="1"/>
  <c r="HW66" i="17"/>
  <c r="HU67" i="17"/>
  <c r="HX66" i="17"/>
  <c r="HZ66" i="17"/>
  <c r="KB65" i="17"/>
  <c r="JZ65" i="17"/>
  <c r="JY65" i="17"/>
  <c r="JW66" i="17"/>
  <c r="GI41" i="17"/>
  <c r="HH38" i="17"/>
  <c r="KS39" i="17"/>
  <c r="LL39" i="17"/>
  <c r="MH44" i="17"/>
  <c r="MV43" i="17"/>
  <c r="GQ43" i="17"/>
  <c r="KK41" i="17"/>
  <c r="KP41" i="17"/>
  <c r="KJ41" i="17"/>
  <c r="KU43" i="17"/>
  <c r="IS43" i="17"/>
  <c r="KF43" i="17"/>
  <c r="KI42" i="17"/>
  <c r="LB42" i="17" s="1"/>
  <c r="LD42" i="17" s="1"/>
  <c r="KL40" i="17"/>
  <c r="KM40" i="17" s="1"/>
  <c r="KR40" i="17" s="1"/>
  <c r="ID44" i="17"/>
  <c r="GH42" i="17"/>
  <c r="GL42" i="17"/>
  <c r="GF43" i="17"/>
  <c r="CL45" i="17"/>
  <c r="CM45" i="17" s="1"/>
  <c r="CO44" i="17"/>
  <c r="GE45" i="17"/>
  <c r="GZ63" i="17" l="1"/>
  <c r="NE65" i="17"/>
  <c r="GJ41" i="17"/>
  <c r="GN41" i="17" s="1"/>
  <c r="GN40" i="17"/>
  <c r="GO40" i="17" s="1"/>
  <c r="LU41" i="17"/>
  <c r="LQ41" i="17"/>
  <c r="FY64" i="17"/>
  <c r="GZ64" i="17" s="1"/>
  <c r="FT65" i="17"/>
  <c r="FW64" i="17"/>
  <c r="FU66" i="17"/>
  <c r="HQ42" i="17"/>
  <c r="LT68" i="17"/>
  <c r="IL68" i="17"/>
  <c r="MA66" i="17"/>
  <c r="NC66" i="17" s="1"/>
  <c r="MD66" i="17"/>
  <c r="LY67" i="17"/>
  <c r="MB66" i="17"/>
  <c r="KB66" i="17"/>
  <c r="JW67" i="17"/>
  <c r="JY66" i="17"/>
  <c r="JZ66" i="17"/>
  <c r="HX67" i="17"/>
  <c r="HW67" i="17"/>
  <c r="HU68" i="17"/>
  <c r="HZ67" i="17"/>
  <c r="HH39" i="17"/>
  <c r="GI42" i="17"/>
  <c r="KS40" i="17"/>
  <c r="LL40" i="17"/>
  <c r="MH45" i="17"/>
  <c r="MV44" i="17"/>
  <c r="GQ44" i="17"/>
  <c r="KL41" i="17"/>
  <c r="KM41" i="17" s="1"/>
  <c r="KR41" i="17" s="1"/>
  <c r="KU44" i="17"/>
  <c r="IS44" i="17"/>
  <c r="KK42" i="17"/>
  <c r="KP42" i="17"/>
  <c r="KJ42" i="17"/>
  <c r="KF44" i="17"/>
  <c r="KI43" i="17"/>
  <c r="LB43" i="17" s="1"/>
  <c r="LD43" i="17" s="1"/>
  <c r="ID45" i="17"/>
  <c r="GH43" i="17"/>
  <c r="GL43" i="17"/>
  <c r="GF44" i="17"/>
  <c r="CL46" i="17"/>
  <c r="CM46" i="17" s="1"/>
  <c r="CO45" i="17"/>
  <c r="GE46" i="17"/>
  <c r="NE66" i="17" l="1"/>
  <c r="HH40" i="17"/>
  <c r="GJ42" i="17"/>
  <c r="GN42" i="17" s="1"/>
  <c r="HM41" i="17"/>
  <c r="GO41" i="17"/>
  <c r="LU42" i="17"/>
  <c r="LQ42" i="17"/>
  <c r="FT66" i="17"/>
  <c r="FV66" i="17" s="1"/>
  <c r="GX66" i="17" s="1"/>
  <c r="FY65" i="17"/>
  <c r="FW65" i="17"/>
  <c r="FV65" i="17"/>
  <c r="GX65" i="17" s="1"/>
  <c r="FU67" i="17"/>
  <c r="HQ43" i="17"/>
  <c r="LT69" i="17"/>
  <c r="IL69" i="17"/>
  <c r="MD67" i="17"/>
  <c r="LY68" i="17"/>
  <c r="MB67" i="17"/>
  <c r="MA67" i="17"/>
  <c r="NC67" i="17" s="1"/>
  <c r="HW68" i="17"/>
  <c r="HZ68" i="17"/>
  <c r="HU69" i="17"/>
  <c r="HX68" i="17"/>
  <c r="JY67" i="17"/>
  <c r="JZ67" i="17"/>
  <c r="JW68" i="17"/>
  <c r="KB67" i="17"/>
  <c r="GI43" i="17"/>
  <c r="KS41" i="17"/>
  <c r="LL41" i="17"/>
  <c r="MH46" i="17"/>
  <c r="GQ45" i="17"/>
  <c r="MV45" i="17"/>
  <c r="KK43" i="17"/>
  <c r="KJ43" i="17"/>
  <c r="KP43" i="17"/>
  <c r="KL42" i="17"/>
  <c r="KM42" i="17" s="1"/>
  <c r="KR42" i="17" s="1"/>
  <c r="KU45" i="17"/>
  <c r="IS45" i="17"/>
  <c r="KF45" i="17"/>
  <c r="KI44" i="17"/>
  <c r="LB44" i="17" s="1"/>
  <c r="LD44" i="17" s="1"/>
  <c r="ID46" i="17"/>
  <c r="GH44" i="17"/>
  <c r="GL44" i="17"/>
  <c r="GF45" i="17"/>
  <c r="CL47" i="17"/>
  <c r="CM47" i="17" s="1"/>
  <c r="CO46" i="17"/>
  <c r="GE47" i="17"/>
  <c r="GZ65" i="17" l="1"/>
  <c r="NE67" i="17"/>
  <c r="GJ43" i="17"/>
  <c r="GN43" i="17" s="1"/>
  <c r="HM42" i="17"/>
  <c r="GO42" i="17"/>
  <c r="LU43" i="17"/>
  <c r="LQ43" i="17"/>
  <c r="FU68" i="17"/>
  <c r="FT67" i="17"/>
  <c r="FV67" i="17" s="1"/>
  <c r="GX67" i="17" s="1"/>
  <c r="FY66" i="17"/>
  <c r="GZ66" i="17" s="1"/>
  <c r="FW66" i="17"/>
  <c r="HQ44" i="17"/>
  <c r="LT70" i="17"/>
  <c r="IL70" i="17"/>
  <c r="HU70" i="17"/>
  <c r="HW69" i="17"/>
  <c r="HZ69" i="17"/>
  <c r="HX69" i="17"/>
  <c r="JY68" i="17"/>
  <c r="KB68" i="17"/>
  <c r="JZ68" i="17"/>
  <c r="JW69" i="17"/>
  <c r="MA68" i="17"/>
  <c r="NC68" i="17" s="1"/>
  <c r="MD68" i="17"/>
  <c r="LY69" i="17"/>
  <c r="MB68" i="17"/>
  <c r="GI44" i="17"/>
  <c r="HH41" i="17"/>
  <c r="KS42" i="17"/>
  <c r="LL42" i="17"/>
  <c r="MH47" i="17"/>
  <c r="MV46" i="17"/>
  <c r="GQ46" i="17"/>
  <c r="KU46" i="17"/>
  <c r="IS46" i="17"/>
  <c r="KJ44" i="17"/>
  <c r="KP44" i="17"/>
  <c r="KK44" i="17"/>
  <c r="KF46" i="17"/>
  <c r="KI45" i="17"/>
  <c r="LB45" i="17" s="1"/>
  <c r="LD45" i="17" s="1"/>
  <c r="KL43" i="17"/>
  <c r="KM43" i="17" s="1"/>
  <c r="KR43" i="17" s="1"/>
  <c r="ID47" i="17"/>
  <c r="GH45" i="17"/>
  <c r="GL45" i="17"/>
  <c r="GF46" i="17"/>
  <c r="CL48" i="17"/>
  <c r="CM48" i="17" s="1"/>
  <c r="CO47" i="17"/>
  <c r="GE48" i="17"/>
  <c r="NE68" i="17" l="1"/>
  <c r="GJ44" i="17"/>
  <c r="HM44" i="17" s="1"/>
  <c r="HM43" i="17"/>
  <c r="GO43" i="17"/>
  <c r="LU44" i="17"/>
  <c r="LQ44" i="17"/>
  <c r="FU69" i="17"/>
  <c r="FT68" i="17"/>
  <c r="FY67" i="17"/>
  <c r="GZ67" i="17" s="1"/>
  <c r="FW67" i="17"/>
  <c r="HQ45" i="17"/>
  <c r="LT71" i="17"/>
  <c r="IL71" i="17"/>
  <c r="LY70" i="17"/>
  <c r="MA69" i="17"/>
  <c r="NC69" i="17" s="1"/>
  <c r="MB69" i="17"/>
  <c r="MD69" i="17"/>
  <c r="HW70" i="17"/>
  <c r="HX70" i="17"/>
  <c r="HU71" i="17"/>
  <c r="HZ70" i="17"/>
  <c r="JW70" i="17"/>
  <c r="JY69" i="17"/>
  <c r="KB69" i="17"/>
  <c r="JZ69" i="17"/>
  <c r="GI45" i="17"/>
  <c r="HH42" i="17"/>
  <c r="KS43" i="17"/>
  <c r="LL43" i="17"/>
  <c r="MH48" i="17"/>
  <c r="GQ47" i="17"/>
  <c r="MV47" i="17"/>
  <c r="KJ45" i="17"/>
  <c r="KK45" i="17"/>
  <c r="KP45" i="17"/>
  <c r="KL44" i="17"/>
  <c r="KM44" i="17" s="1"/>
  <c r="KR44" i="17" s="1"/>
  <c r="KF47" i="17"/>
  <c r="KI46" i="17"/>
  <c r="LB46" i="17" s="1"/>
  <c r="LD46" i="17" s="1"/>
  <c r="IS47" i="17"/>
  <c r="KU47" i="17"/>
  <c r="ID48" i="17"/>
  <c r="GH46" i="17"/>
  <c r="GL46" i="17"/>
  <c r="GF47" i="17"/>
  <c r="CL49" i="17"/>
  <c r="CM49" i="17" s="1"/>
  <c r="CO48" i="17"/>
  <c r="GE49" i="17"/>
  <c r="NE69" i="17" l="1"/>
  <c r="GN44" i="17"/>
  <c r="GO44" i="17" s="1"/>
  <c r="GJ45" i="17"/>
  <c r="GN45" i="17" s="1"/>
  <c r="LU45" i="17"/>
  <c r="LQ45" i="17"/>
  <c r="FT69" i="17"/>
  <c r="FV69" i="17" s="1"/>
  <c r="GX69" i="17" s="1"/>
  <c r="FY68" i="17"/>
  <c r="FW68" i="17"/>
  <c r="FV68" i="17"/>
  <c r="GX68" i="17" s="1"/>
  <c r="FU70" i="17"/>
  <c r="HQ46" i="17"/>
  <c r="LT72" i="17"/>
  <c r="IL72" i="17"/>
  <c r="JW71" i="17"/>
  <c r="JZ70" i="17"/>
  <c r="KB70" i="17"/>
  <c r="JY70" i="17"/>
  <c r="HU72" i="17"/>
  <c r="HX71" i="17"/>
  <c r="HW71" i="17"/>
  <c r="HZ71" i="17"/>
  <c r="MA70" i="17"/>
  <c r="NC70" i="17" s="1"/>
  <c r="MB70" i="17"/>
  <c r="LY71" i="17"/>
  <c r="MD70" i="17"/>
  <c r="GI46" i="17"/>
  <c r="HH43" i="17"/>
  <c r="KS44" i="17"/>
  <c r="LL44" i="17"/>
  <c r="MH49" i="17"/>
  <c r="MV48" i="17"/>
  <c r="GQ48" i="17"/>
  <c r="KU48" i="17"/>
  <c r="IS48" i="17"/>
  <c r="KK46" i="17"/>
  <c r="KJ46" i="17"/>
  <c r="KP46" i="17"/>
  <c r="KL45" i="17"/>
  <c r="KM45" i="17" s="1"/>
  <c r="KR45" i="17" s="1"/>
  <c r="KF48" i="17"/>
  <c r="KI47" i="17"/>
  <c r="LB47" i="17" s="1"/>
  <c r="LD47" i="17" s="1"/>
  <c r="ID49" i="17"/>
  <c r="GH47" i="17"/>
  <c r="GL47" i="17"/>
  <c r="GF48" i="17"/>
  <c r="CL50" i="17"/>
  <c r="CM50" i="17" s="1"/>
  <c r="CO49" i="17"/>
  <c r="GE50" i="17"/>
  <c r="GZ68" i="17" l="1"/>
  <c r="NE70" i="17"/>
  <c r="HH44" i="17"/>
  <c r="GJ46" i="17"/>
  <c r="GN46" i="17" s="1"/>
  <c r="HM45" i="17"/>
  <c r="GO45" i="17"/>
  <c r="LU46" i="17"/>
  <c r="LQ46" i="17"/>
  <c r="FU71" i="17"/>
  <c r="FY69" i="17"/>
  <c r="GZ69" i="17" s="1"/>
  <c r="FT70" i="17"/>
  <c r="FV70" i="17" s="1"/>
  <c r="GX70" i="17" s="1"/>
  <c r="FW69" i="17"/>
  <c r="HQ47" i="17"/>
  <c r="LT73" i="17"/>
  <c r="IL73" i="17"/>
  <c r="JZ71" i="17"/>
  <c r="JW72" i="17"/>
  <c r="JY71" i="17"/>
  <c r="KB71" i="17"/>
  <c r="MB71" i="17"/>
  <c r="MD71" i="17"/>
  <c r="LY72" i="17"/>
  <c r="MA71" i="17"/>
  <c r="NC71" i="17" s="1"/>
  <c r="HW72" i="17"/>
  <c r="HX72" i="17"/>
  <c r="HU73" i="17"/>
  <c r="HZ72" i="17"/>
  <c r="GI47" i="17"/>
  <c r="KS45" i="17"/>
  <c r="LL45" i="17"/>
  <c r="MH50" i="17"/>
  <c r="MV49" i="17"/>
  <c r="GQ49" i="17"/>
  <c r="IS49" i="17"/>
  <c r="KU49" i="17"/>
  <c r="KF49" i="17"/>
  <c r="KI48" i="17"/>
  <c r="LB48" i="17" s="1"/>
  <c r="LD48" i="17" s="1"/>
  <c r="KL46" i="17"/>
  <c r="KM46" i="17" s="1"/>
  <c r="KR46" i="17" s="1"/>
  <c r="KJ47" i="17"/>
  <c r="KK47" i="17"/>
  <c r="KP47" i="17"/>
  <c r="ID50" i="17"/>
  <c r="GH48" i="17"/>
  <c r="GL48" i="17"/>
  <c r="GF49" i="17"/>
  <c r="CL51" i="17"/>
  <c r="CM51" i="17" s="1"/>
  <c r="CO50" i="17"/>
  <c r="GE51" i="17"/>
  <c r="NE71" i="17" l="1"/>
  <c r="GJ47" i="17"/>
  <c r="GN47" i="17" s="1"/>
  <c r="HM46" i="17"/>
  <c r="GO46" i="17"/>
  <c r="LU47" i="17"/>
  <c r="LQ47" i="17"/>
  <c r="FU72" i="17"/>
  <c r="FY70" i="17"/>
  <c r="GZ70" i="17" s="1"/>
  <c r="FT71" i="17"/>
  <c r="FW70" i="17"/>
  <c r="HQ48" i="17"/>
  <c r="LT74" i="17"/>
  <c r="IL74" i="17"/>
  <c r="JY72" i="17"/>
  <c r="JZ72" i="17"/>
  <c r="JW73" i="17"/>
  <c r="KB72" i="17"/>
  <c r="HW73" i="17"/>
  <c r="HX73" i="17"/>
  <c r="HU74" i="17"/>
  <c r="HZ73" i="17"/>
  <c r="LY73" i="17"/>
  <c r="MA72" i="17"/>
  <c r="NC72" i="17" s="1"/>
  <c r="MB72" i="17"/>
  <c r="MD72" i="17"/>
  <c r="GI48" i="17"/>
  <c r="HH45" i="17"/>
  <c r="KS46" i="17"/>
  <c r="LL46" i="17"/>
  <c r="MH51" i="17"/>
  <c r="MV50" i="17"/>
  <c r="GQ50" i="17"/>
  <c r="KU50" i="17"/>
  <c r="IS50" i="17"/>
  <c r="KK48" i="17"/>
  <c r="KJ48" i="17"/>
  <c r="KP48" i="17"/>
  <c r="KL47" i="17"/>
  <c r="KM47" i="17" s="1"/>
  <c r="KR47" i="17" s="1"/>
  <c r="KF50" i="17"/>
  <c r="KI49" i="17"/>
  <c r="LB49" i="17" s="1"/>
  <c r="LD49" i="17" s="1"/>
  <c r="ID51" i="17"/>
  <c r="GH49" i="17"/>
  <c r="GL49" i="17"/>
  <c r="GF50" i="17"/>
  <c r="CL52" i="17"/>
  <c r="CM52" i="17" s="1"/>
  <c r="CO51" i="17"/>
  <c r="GE52" i="17"/>
  <c r="LT21" i="17"/>
  <c r="NE72" i="17" l="1"/>
  <c r="GJ48" i="17"/>
  <c r="HM48" i="17" s="1"/>
  <c r="HM47" i="17"/>
  <c r="GO47" i="17"/>
  <c r="LU48" i="17"/>
  <c r="LQ48" i="17"/>
  <c r="FU73" i="17"/>
  <c r="FT72" i="17"/>
  <c r="FY71" i="17"/>
  <c r="FW71" i="17"/>
  <c r="FV71" i="17"/>
  <c r="GX71" i="17" s="1"/>
  <c r="LT12" i="17"/>
  <c r="HQ49" i="17"/>
  <c r="JZ73" i="17"/>
  <c r="JW74" i="17"/>
  <c r="KB73" i="17"/>
  <c r="JY73" i="17"/>
  <c r="HW74" i="17"/>
  <c r="HX74" i="17"/>
  <c r="HZ74" i="17"/>
  <c r="MA73" i="17"/>
  <c r="NC73" i="17" s="1"/>
  <c r="MB73" i="17"/>
  <c r="LY74" i="17"/>
  <c r="MD73" i="17"/>
  <c r="HH46" i="17"/>
  <c r="GI49" i="17"/>
  <c r="KS47" i="17"/>
  <c r="LL47" i="17"/>
  <c r="MH52" i="17"/>
  <c r="MV51" i="17"/>
  <c r="GQ51" i="17"/>
  <c r="KF51" i="17"/>
  <c r="KI50" i="17"/>
  <c r="LB50" i="17" s="1"/>
  <c r="LD50" i="17" s="1"/>
  <c r="KL48" i="17"/>
  <c r="KM48" i="17" s="1"/>
  <c r="KR48" i="17" s="1"/>
  <c r="KK49" i="17"/>
  <c r="KJ49" i="17"/>
  <c r="KP49" i="17"/>
  <c r="KU51" i="17"/>
  <c r="IS51" i="17"/>
  <c r="ID52" i="17"/>
  <c r="GH50" i="17"/>
  <c r="GL50" i="17"/>
  <c r="GF51" i="17"/>
  <c r="CL53" i="17"/>
  <c r="CM53" i="17" s="1"/>
  <c r="CO52" i="17"/>
  <c r="GE53" i="17"/>
  <c r="NE73" i="17" l="1"/>
  <c r="GZ71" i="17"/>
  <c r="GN48" i="17"/>
  <c r="GO48" i="17" s="1"/>
  <c r="GJ49" i="17"/>
  <c r="GN49" i="17" s="1"/>
  <c r="LU49" i="17"/>
  <c r="LQ49" i="17"/>
  <c r="FT73" i="17"/>
  <c r="FV73" i="17" s="1"/>
  <c r="GX73" i="17" s="1"/>
  <c r="FY72" i="17"/>
  <c r="FW72" i="17"/>
  <c r="FU74" i="17"/>
  <c r="FV72" i="17"/>
  <c r="GX72" i="17" s="1"/>
  <c r="HQ50" i="17"/>
  <c r="JZ74" i="17"/>
  <c r="JY74" i="17"/>
  <c r="KB74" i="17"/>
  <c r="MD74" i="17"/>
  <c r="MB74" i="17"/>
  <c r="MA74" i="17"/>
  <c r="NC74" i="17" s="1"/>
  <c r="GI50" i="17"/>
  <c r="HH47" i="17"/>
  <c r="KS48" i="17"/>
  <c r="LL48" i="17"/>
  <c r="MH53" i="17"/>
  <c r="MV52" i="17"/>
  <c r="GQ52" i="17"/>
  <c r="KP50" i="17"/>
  <c r="KJ50" i="17"/>
  <c r="KK50" i="17"/>
  <c r="KF52" i="17"/>
  <c r="KI51" i="17"/>
  <c r="LB51" i="17" s="1"/>
  <c r="LD51" i="17" s="1"/>
  <c r="KU52" i="17"/>
  <c r="IS52" i="17"/>
  <c r="KL49" i="17"/>
  <c r="KM49" i="17" s="1"/>
  <c r="KR49" i="17" s="1"/>
  <c r="ID53" i="17"/>
  <c r="GH51" i="17"/>
  <c r="GL51" i="17"/>
  <c r="GF52" i="17"/>
  <c r="CL54" i="17"/>
  <c r="CM54" i="17" s="1"/>
  <c r="CO53" i="17"/>
  <c r="GE54" i="17"/>
  <c r="GZ72" i="17" l="1"/>
  <c r="NE74" i="17"/>
  <c r="HH48" i="17"/>
  <c r="GJ50" i="17"/>
  <c r="GN50" i="17" s="1"/>
  <c r="HM49" i="17"/>
  <c r="GO49" i="17"/>
  <c r="LU50" i="17"/>
  <c r="LQ50" i="17"/>
  <c r="FY73" i="17"/>
  <c r="GZ73" i="17" s="1"/>
  <c r="FT74" i="17"/>
  <c r="FW73" i="17"/>
  <c r="HQ51" i="17"/>
  <c r="GI51" i="17"/>
  <c r="KS49" i="17"/>
  <c r="LL49" i="17"/>
  <c r="MH54" i="17"/>
  <c r="GQ53" i="17"/>
  <c r="MV53" i="17"/>
  <c r="KF53" i="17"/>
  <c r="KI52" i="17"/>
  <c r="LB52" i="17" s="1"/>
  <c r="LD52" i="17" s="1"/>
  <c r="KU53" i="17"/>
  <c r="IS53" i="17"/>
  <c r="KP51" i="17"/>
  <c r="KJ51" i="17"/>
  <c r="KK51" i="17"/>
  <c r="KL50" i="17"/>
  <c r="KM50" i="17" s="1"/>
  <c r="KR50" i="17" s="1"/>
  <c r="ID54" i="17"/>
  <c r="GH52" i="17"/>
  <c r="GL52" i="17"/>
  <c r="GF53" i="17"/>
  <c r="CL55" i="17"/>
  <c r="CM55" i="17" s="1"/>
  <c r="CO54" i="17"/>
  <c r="GE55" i="17"/>
  <c r="GJ51" i="17" l="1"/>
  <c r="HM51" i="17" s="1"/>
  <c r="HM50" i="17"/>
  <c r="GO50" i="17"/>
  <c r="LU51" i="17"/>
  <c r="LQ51" i="17"/>
  <c r="FY74" i="17"/>
  <c r="FW74" i="17"/>
  <c r="FV74" i="17"/>
  <c r="GX74" i="17" s="1"/>
  <c r="HQ52" i="17"/>
  <c r="HH49" i="17"/>
  <c r="GI52" i="17"/>
  <c r="KS50" i="17"/>
  <c r="LL50" i="17"/>
  <c r="MH55" i="17"/>
  <c r="MV54" i="17"/>
  <c r="GQ54" i="17"/>
  <c r="KU54" i="17"/>
  <c r="IS54" i="17"/>
  <c r="KP52" i="17"/>
  <c r="KJ52" i="17"/>
  <c r="KK52" i="17"/>
  <c r="KL51" i="17"/>
  <c r="KM51" i="17" s="1"/>
  <c r="KR51" i="17" s="1"/>
  <c r="KF54" i="17"/>
  <c r="KI53" i="17"/>
  <c r="LB53" i="17" s="1"/>
  <c r="LD53" i="17" s="1"/>
  <c r="ID55" i="17"/>
  <c r="GH53" i="17"/>
  <c r="GL53" i="17"/>
  <c r="GF54" i="17"/>
  <c r="CL56" i="17"/>
  <c r="CM56" i="17" s="1"/>
  <c r="CO55" i="17"/>
  <c r="GE56" i="17"/>
  <c r="GE57" i="17"/>
  <c r="GZ74" i="17" l="1"/>
  <c r="GJ52" i="17"/>
  <c r="GN52" i="17" s="1"/>
  <c r="GN51" i="17"/>
  <c r="GO51" i="17" s="1"/>
  <c r="LU52" i="17"/>
  <c r="LQ52" i="17"/>
  <c r="HQ53" i="17"/>
  <c r="HH50" i="17"/>
  <c r="GI53" i="17"/>
  <c r="KS51" i="17"/>
  <c r="LL51" i="17"/>
  <c r="MH56" i="17"/>
  <c r="MV55" i="17"/>
  <c r="GQ55" i="17"/>
  <c r="IS55" i="17"/>
  <c r="KU55" i="17"/>
  <c r="KK53" i="17"/>
  <c r="KJ53" i="17"/>
  <c r="KP53" i="17"/>
  <c r="KF55" i="17"/>
  <c r="KI54" i="17"/>
  <c r="LB54" i="17" s="1"/>
  <c r="LD54" i="17" s="1"/>
  <c r="KL52" i="17"/>
  <c r="KM52" i="17" s="1"/>
  <c r="KR52" i="17" s="1"/>
  <c r="ID56" i="17"/>
  <c r="GH54" i="17"/>
  <c r="GL54" i="17"/>
  <c r="GF55" i="17"/>
  <c r="CL57" i="17"/>
  <c r="CL58" i="17" s="1"/>
  <c r="CO56" i="17"/>
  <c r="HH51" i="17" l="1"/>
  <c r="GJ53" i="17"/>
  <c r="GN53" i="17" s="1"/>
  <c r="HM52" i="17"/>
  <c r="GO52" i="17"/>
  <c r="LU53" i="17"/>
  <c r="LQ53" i="17"/>
  <c r="CL59" i="17"/>
  <c r="CM58" i="17"/>
  <c r="CO58" i="17" s="1"/>
  <c r="HQ54" i="17"/>
  <c r="GI54" i="17"/>
  <c r="KS52" i="17"/>
  <c r="LL52" i="17"/>
  <c r="MH57" i="17"/>
  <c r="MH58" i="17" s="1"/>
  <c r="MH59" i="17" s="1"/>
  <c r="MH60" i="17" s="1"/>
  <c r="MH61" i="17" s="1"/>
  <c r="MH62" i="17" s="1"/>
  <c r="MH63" i="17" s="1"/>
  <c r="MH64" i="17" s="1"/>
  <c r="MH65" i="17" s="1"/>
  <c r="MH66" i="17" s="1"/>
  <c r="MH67" i="17" s="1"/>
  <c r="MH68" i="17" s="1"/>
  <c r="MH69" i="17" s="1"/>
  <c r="MH70" i="17" s="1"/>
  <c r="MH71" i="17" s="1"/>
  <c r="MH72" i="17" s="1"/>
  <c r="MH73" i="17" s="1"/>
  <c r="MH74" i="17" s="1"/>
  <c r="MV56" i="17"/>
  <c r="GQ56" i="17"/>
  <c r="KJ54" i="17"/>
  <c r="KK54" i="17"/>
  <c r="KP54" i="17"/>
  <c r="KF56" i="17"/>
  <c r="KI55" i="17"/>
  <c r="LB55" i="17" s="1"/>
  <c r="LD55" i="17" s="1"/>
  <c r="KU56" i="17"/>
  <c r="IS56" i="17"/>
  <c r="KL53" i="17"/>
  <c r="KM53" i="17" s="1"/>
  <c r="KR53" i="17" s="1"/>
  <c r="ID57" i="17"/>
  <c r="ID58" i="17" s="1"/>
  <c r="ID59" i="17" s="1"/>
  <c r="ID60" i="17" s="1"/>
  <c r="ID61" i="17" s="1"/>
  <c r="ID62" i="17" s="1"/>
  <c r="ID63" i="17" s="1"/>
  <c r="ID64" i="17" s="1"/>
  <c r="ID65" i="17" s="1"/>
  <c r="ID66" i="17" s="1"/>
  <c r="ID67" i="17" s="1"/>
  <c r="ID68" i="17" s="1"/>
  <c r="ID69" i="17" s="1"/>
  <c r="ID70" i="17" s="1"/>
  <c r="ID71" i="17" s="1"/>
  <c r="ID72" i="17" s="1"/>
  <c r="ID73" i="17" s="1"/>
  <c r="ID74" i="17" s="1"/>
  <c r="GH55" i="17"/>
  <c r="GL55" i="17"/>
  <c r="GF56" i="17"/>
  <c r="GF57" i="17"/>
  <c r="CM57" i="17"/>
  <c r="CO57" i="17" s="1"/>
  <c r="GJ54" i="17" l="1"/>
  <c r="GN54" i="17" s="1"/>
  <c r="HM53" i="17"/>
  <c r="GO53" i="17"/>
  <c r="LU54" i="17"/>
  <c r="LQ54" i="17"/>
  <c r="MV58" i="17"/>
  <c r="IS58" i="17"/>
  <c r="GQ58" i="17"/>
  <c r="KU58" i="17"/>
  <c r="CL60" i="17"/>
  <c r="CM59" i="17"/>
  <c r="CO59" i="17" s="1"/>
  <c r="HQ55" i="17"/>
  <c r="GI55" i="17"/>
  <c r="HH52" i="17"/>
  <c r="KS53" i="17"/>
  <c r="LL53" i="17"/>
  <c r="MV57" i="17"/>
  <c r="GQ57" i="17"/>
  <c r="IS57" i="17"/>
  <c r="KU57" i="17"/>
  <c r="KK55" i="17"/>
  <c r="KP55" i="17"/>
  <c r="KJ55" i="17"/>
  <c r="KF57" i="17"/>
  <c r="KI56" i="17"/>
  <c r="LB56" i="17" s="1"/>
  <c r="LD56" i="17" s="1"/>
  <c r="KL54" i="17"/>
  <c r="KM54" i="17" s="1"/>
  <c r="KR54" i="17" s="1"/>
  <c r="GH57" i="17"/>
  <c r="GL57" i="17"/>
  <c r="GH56" i="17"/>
  <c r="GL56" i="17"/>
  <c r="GJ55" i="17" l="1"/>
  <c r="GN55" i="17" s="1"/>
  <c r="HM54" i="17"/>
  <c r="GO54" i="17"/>
  <c r="LU55" i="17"/>
  <c r="LQ55" i="17"/>
  <c r="KI57" i="17"/>
  <c r="KJ57" i="17" s="1"/>
  <c r="KF58" i="17"/>
  <c r="IS59" i="17"/>
  <c r="GQ59" i="17"/>
  <c r="MV59" i="17"/>
  <c r="KU59" i="17"/>
  <c r="CL61" i="17"/>
  <c r="CM60" i="17"/>
  <c r="CO60" i="17" s="1"/>
  <c r="HQ56" i="17"/>
  <c r="HQ57" i="17"/>
  <c r="GI56" i="17"/>
  <c r="HH53" i="17"/>
  <c r="KS54" i="17"/>
  <c r="LL54" i="17"/>
  <c r="KP56" i="17"/>
  <c r="KK56" i="17"/>
  <c r="KJ56" i="17"/>
  <c r="KL55" i="17"/>
  <c r="KM55" i="17" s="1"/>
  <c r="KR55" i="17" s="1"/>
  <c r="HQ21" i="17"/>
  <c r="KK57" i="17" l="1"/>
  <c r="LB57" i="17"/>
  <c r="LD57" i="17" s="1"/>
  <c r="GJ56" i="17"/>
  <c r="GN56" i="17" s="1"/>
  <c r="GO56" i="17" s="1"/>
  <c r="HM55" i="17"/>
  <c r="GO55" i="17"/>
  <c r="LU56" i="17"/>
  <c r="LQ56" i="17"/>
  <c r="KP57" i="17"/>
  <c r="CL62" i="17"/>
  <c r="CM61" i="17"/>
  <c r="CO61" i="17" s="1"/>
  <c r="MV60" i="17"/>
  <c r="GQ60" i="17"/>
  <c r="IS60" i="17"/>
  <c r="KU60" i="17"/>
  <c r="KF59" i="17"/>
  <c r="KI58" i="17"/>
  <c r="LB58" i="17" s="1"/>
  <c r="LD58" i="17" s="1"/>
  <c r="HR21" i="17"/>
  <c r="HR12" i="17" s="1"/>
  <c r="HH54" i="17"/>
  <c r="KS55" i="17"/>
  <c r="LL55" i="17"/>
  <c r="HQ12" i="17"/>
  <c r="HR17" i="17"/>
  <c r="HS17" i="17"/>
  <c r="KL57" i="17"/>
  <c r="KM57" i="17" s="1"/>
  <c r="KR57" i="17" s="1"/>
  <c r="KL56" i="17"/>
  <c r="KM56" i="17" s="1"/>
  <c r="KR56" i="17" s="1"/>
  <c r="HM56" i="17" l="1"/>
  <c r="LU57" i="17"/>
  <c r="LQ57" i="17"/>
  <c r="KF60" i="17"/>
  <c r="KI59" i="17"/>
  <c r="LB59" i="17" s="1"/>
  <c r="LD59" i="17" s="1"/>
  <c r="KP58" i="17"/>
  <c r="LQ58" i="17" s="1"/>
  <c r="KJ58" i="17"/>
  <c r="KL58" i="17" s="1"/>
  <c r="KM58" i="17" s="1"/>
  <c r="KR58" i="17" s="1"/>
  <c r="LL58" i="17" s="1"/>
  <c r="KK58" i="17"/>
  <c r="MV61" i="17"/>
  <c r="IS61" i="17"/>
  <c r="GQ61" i="17"/>
  <c r="KU61" i="17"/>
  <c r="CL63" i="17"/>
  <c r="CM62" i="17"/>
  <c r="CO62" i="17" s="1"/>
  <c r="HH56" i="17"/>
  <c r="HH55" i="17"/>
  <c r="KS56" i="17"/>
  <c r="LL56" i="17"/>
  <c r="KS57" i="17"/>
  <c r="LL57" i="17"/>
  <c r="LU21" i="17"/>
  <c r="LQ21" i="17"/>
  <c r="LQ12" i="17" l="1"/>
  <c r="LW17" i="17"/>
  <c r="LU12" i="17"/>
  <c r="LV17" i="17"/>
  <c r="LV21" i="17"/>
  <c r="LV12" i="17" s="1"/>
  <c r="MV62" i="17"/>
  <c r="IS62" i="17"/>
  <c r="KU62" i="17"/>
  <c r="GQ62" i="17"/>
  <c r="LU58" i="17"/>
  <c r="KS58" i="17"/>
  <c r="CL64" i="17"/>
  <c r="CM63" i="17"/>
  <c r="CO63" i="17" s="1"/>
  <c r="KJ59" i="17"/>
  <c r="KL59" i="17" s="1"/>
  <c r="KM59" i="17" s="1"/>
  <c r="KR59" i="17" s="1"/>
  <c r="LL59" i="17" s="1"/>
  <c r="KP59" i="17"/>
  <c r="LQ59" i="17" s="1"/>
  <c r="KK59" i="17"/>
  <c r="KF61" i="17"/>
  <c r="KI60" i="17"/>
  <c r="LB60" i="17" s="1"/>
  <c r="LD60" i="17" s="1"/>
  <c r="KF62" i="17" l="1"/>
  <c r="KI61" i="17"/>
  <c r="LB61" i="17" s="1"/>
  <c r="LD61" i="17" s="1"/>
  <c r="MV63" i="17"/>
  <c r="IS63" i="17"/>
  <c r="GQ63" i="17"/>
  <c r="KU63" i="17"/>
  <c r="CL65" i="17"/>
  <c r="CM64" i="17"/>
  <c r="CO64" i="17" s="1"/>
  <c r="LU59" i="17"/>
  <c r="KS59" i="17"/>
  <c r="KP60" i="17"/>
  <c r="LQ60" i="17" s="1"/>
  <c r="KJ60" i="17"/>
  <c r="KL60" i="17" s="1"/>
  <c r="KM60" i="17" s="1"/>
  <c r="KR60" i="17" s="1"/>
  <c r="LL60" i="17" s="1"/>
  <c r="KK60" i="17"/>
  <c r="G103" i="17"/>
  <c r="D103" i="17" s="1"/>
  <c r="IS64" i="17" l="1"/>
  <c r="GQ64" i="17"/>
  <c r="KU64" i="17"/>
  <c r="MV64" i="17"/>
  <c r="LU60" i="17"/>
  <c r="KS60" i="17"/>
  <c r="CL66" i="17"/>
  <c r="CM65" i="17"/>
  <c r="CO65" i="17" s="1"/>
  <c r="KJ61" i="17"/>
  <c r="KL61" i="17" s="1"/>
  <c r="KM61" i="17" s="1"/>
  <c r="KR61" i="17" s="1"/>
  <c r="LL61" i="17" s="1"/>
  <c r="KP61" i="17"/>
  <c r="LQ61" i="17" s="1"/>
  <c r="KK61" i="17"/>
  <c r="KF63" i="17"/>
  <c r="KI62" i="17"/>
  <c r="LB62" i="17" s="1"/>
  <c r="LD62" i="17" s="1"/>
  <c r="G94" i="17"/>
  <c r="D94" i="17" s="1"/>
  <c r="G99" i="17"/>
  <c r="D99" i="17" s="1"/>
  <c r="CL67" i="17" l="1"/>
  <c r="CM66" i="17"/>
  <c r="CO66" i="17" s="1"/>
  <c r="KF64" i="17"/>
  <c r="KI63" i="17"/>
  <c r="LB63" i="17" s="1"/>
  <c r="LD63" i="17" s="1"/>
  <c r="IS65" i="17"/>
  <c r="GQ65" i="17"/>
  <c r="KU65" i="17"/>
  <c r="MV65" i="17"/>
  <c r="LU61" i="17"/>
  <c r="KS61" i="17"/>
  <c r="KP62" i="17"/>
  <c r="LQ62" i="17" s="1"/>
  <c r="KJ62" i="17"/>
  <c r="KL62" i="17" s="1"/>
  <c r="KM62" i="17" s="1"/>
  <c r="KR62" i="17" s="1"/>
  <c r="LL62" i="17" s="1"/>
  <c r="KK62" i="17"/>
  <c r="G95" i="17"/>
  <c r="D95" i="17" s="1"/>
  <c r="KJ63" i="17" l="1"/>
  <c r="KL63" i="17" s="1"/>
  <c r="KM63" i="17" s="1"/>
  <c r="KR63" i="17" s="1"/>
  <c r="LL63" i="17" s="1"/>
  <c r="KP63" i="17"/>
  <c r="LQ63" i="17" s="1"/>
  <c r="KK63" i="17"/>
  <c r="LU62" i="17"/>
  <c r="KS62" i="17"/>
  <c r="KF65" i="17"/>
  <c r="KI64" i="17"/>
  <c r="LB64" i="17" s="1"/>
  <c r="LD64" i="17" s="1"/>
  <c r="GQ66" i="17"/>
  <c r="KU66" i="17"/>
  <c r="IS66" i="17"/>
  <c r="MV66" i="17"/>
  <c r="CL68" i="17"/>
  <c r="CM67" i="17"/>
  <c r="CO67" i="17" s="1"/>
  <c r="G93" i="17"/>
  <c r="D93" i="17" s="1"/>
  <c r="GI57" i="17"/>
  <c r="GJ57" i="17" l="1"/>
  <c r="GN57" i="17" s="1"/>
  <c r="GO57" i="17" s="1"/>
  <c r="CL69" i="17"/>
  <c r="CM68" i="17"/>
  <c r="CO68" i="17" s="1"/>
  <c r="KJ64" i="17"/>
  <c r="KL64" i="17" s="1"/>
  <c r="KM64" i="17" s="1"/>
  <c r="KR64" i="17" s="1"/>
  <c r="LL64" i="17" s="1"/>
  <c r="KP64" i="17"/>
  <c r="LQ64" i="17" s="1"/>
  <c r="KK64" i="17"/>
  <c r="KF66" i="17"/>
  <c r="KI65" i="17"/>
  <c r="LB65" i="17" s="1"/>
  <c r="LD65" i="17" s="1"/>
  <c r="LU63" i="17"/>
  <c r="KS63" i="17"/>
  <c r="KU67" i="17"/>
  <c r="IS67" i="17"/>
  <c r="MV67" i="17"/>
  <c r="GQ67" i="17"/>
  <c r="HM57" i="17" l="1"/>
  <c r="LU64" i="17"/>
  <c r="KS64" i="17"/>
  <c r="KP65" i="17"/>
  <c r="LQ65" i="17" s="1"/>
  <c r="KJ65" i="17"/>
  <c r="KL65" i="17" s="1"/>
  <c r="KM65" i="17" s="1"/>
  <c r="KR65" i="17" s="1"/>
  <c r="LL65" i="17" s="1"/>
  <c r="KK65" i="17"/>
  <c r="KF67" i="17"/>
  <c r="KI66" i="17"/>
  <c r="LB66" i="17" s="1"/>
  <c r="LD66" i="17" s="1"/>
  <c r="MV68" i="17"/>
  <c r="IS68" i="17"/>
  <c r="GQ68" i="17"/>
  <c r="KU68" i="17"/>
  <c r="CL70" i="17"/>
  <c r="CM69" i="17"/>
  <c r="CO69" i="17" s="1"/>
  <c r="HM21" i="17"/>
  <c r="HM12" i="17" l="1"/>
  <c r="CL71" i="17"/>
  <c r="CM70" i="17"/>
  <c r="CO70" i="17" s="1"/>
  <c r="KP66" i="17"/>
  <c r="LQ66" i="17" s="1"/>
  <c r="KJ66" i="17"/>
  <c r="KL66" i="17" s="1"/>
  <c r="KM66" i="17" s="1"/>
  <c r="KR66" i="17" s="1"/>
  <c r="LL66" i="17" s="1"/>
  <c r="KK66" i="17"/>
  <c r="LU65" i="17"/>
  <c r="KS65" i="17"/>
  <c r="KF68" i="17"/>
  <c r="KI67" i="17"/>
  <c r="LB67" i="17" s="1"/>
  <c r="LD67" i="17" s="1"/>
  <c r="IS69" i="17"/>
  <c r="KU69" i="17"/>
  <c r="GQ69" i="17"/>
  <c r="MV69" i="17"/>
  <c r="HH57" i="17"/>
  <c r="IG24" i="17"/>
  <c r="IZ24" i="17" s="1"/>
  <c r="JB24" i="17" s="1"/>
  <c r="HH21" i="17"/>
  <c r="KF69" i="17" l="1"/>
  <c r="KI68" i="17"/>
  <c r="LB68" i="17" s="1"/>
  <c r="LD68" i="17" s="1"/>
  <c r="LU66" i="17"/>
  <c r="KS66" i="17"/>
  <c r="MV70" i="17"/>
  <c r="KU70" i="17"/>
  <c r="IS70" i="17"/>
  <c r="GQ70" i="17"/>
  <c r="KP67" i="17"/>
  <c r="LQ67" i="17" s="1"/>
  <c r="KJ67" i="17"/>
  <c r="KL67" i="17" s="1"/>
  <c r="KM67" i="17" s="1"/>
  <c r="KR67" i="17" s="1"/>
  <c r="LL67" i="17" s="1"/>
  <c r="KK67" i="17"/>
  <c r="CL72" i="17"/>
  <c r="CM71" i="17"/>
  <c r="CO71" i="17" s="1"/>
  <c r="HH12" i="17"/>
  <c r="II24" i="17"/>
  <c r="IN24" i="17"/>
  <c r="JO24" i="17" s="1"/>
  <c r="KP68" i="17" l="1"/>
  <c r="LQ68" i="17" s="1"/>
  <c r="KJ68" i="17"/>
  <c r="KL68" i="17" s="1"/>
  <c r="KM68" i="17" s="1"/>
  <c r="KR68" i="17" s="1"/>
  <c r="LL68" i="17" s="1"/>
  <c r="KK68" i="17"/>
  <c r="CL73" i="17"/>
  <c r="CM72" i="17"/>
  <c r="CO72" i="17" s="1"/>
  <c r="GQ71" i="17"/>
  <c r="KU71" i="17"/>
  <c r="MV71" i="17"/>
  <c r="IS71" i="17"/>
  <c r="LU67" i="17"/>
  <c r="KS67" i="17"/>
  <c r="KF70" i="17"/>
  <c r="KI69" i="17"/>
  <c r="LB69" i="17" s="1"/>
  <c r="LD69" i="17" s="1"/>
  <c r="JR24" i="17"/>
  <c r="IG26" i="17"/>
  <c r="IZ26" i="17" s="1"/>
  <c r="JB26" i="17" s="1"/>
  <c r="IG25" i="17"/>
  <c r="IZ25" i="17" s="1"/>
  <c r="JB25" i="17" s="1"/>
  <c r="JS24" i="17"/>
  <c r="IH25" i="17" l="1"/>
  <c r="IJ25" i="17" s="1"/>
  <c r="IP25" i="17" s="1"/>
  <c r="KF71" i="17"/>
  <c r="KI70" i="17"/>
  <c r="LB70" i="17" s="1"/>
  <c r="LD70" i="17" s="1"/>
  <c r="CL74" i="17"/>
  <c r="CM74" i="17" s="1"/>
  <c r="CO74" i="17" s="1"/>
  <c r="CM73" i="17"/>
  <c r="CO73" i="17" s="1"/>
  <c r="KP69" i="17"/>
  <c r="LQ69" i="17" s="1"/>
  <c r="KJ69" i="17"/>
  <c r="KL69" i="17" s="1"/>
  <c r="KM69" i="17" s="1"/>
  <c r="KR69" i="17" s="1"/>
  <c r="LL69" i="17" s="1"/>
  <c r="KK69" i="17"/>
  <c r="IS72" i="17"/>
  <c r="KU72" i="17"/>
  <c r="MV72" i="17"/>
  <c r="GQ72" i="17"/>
  <c r="LU68" i="17"/>
  <c r="KS68" i="17"/>
  <c r="JR25" i="17"/>
  <c r="II26" i="17"/>
  <c r="IN25" i="17"/>
  <c r="JR26" i="17"/>
  <c r="IG27" i="17"/>
  <c r="IZ27" i="17" s="1"/>
  <c r="JB27" i="17" s="1"/>
  <c r="IN26" i="17"/>
  <c r="II25" i="17"/>
  <c r="IH26" i="17"/>
  <c r="IQ25" i="17" l="1"/>
  <c r="JS25" i="17"/>
  <c r="JO25" i="17"/>
  <c r="JS26" i="17"/>
  <c r="JO26" i="17"/>
  <c r="IN27" i="17"/>
  <c r="JO27" i="17" s="1"/>
  <c r="MV73" i="17"/>
  <c r="GQ73" i="17"/>
  <c r="KU73" i="17"/>
  <c r="IS73" i="17"/>
  <c r="KU74" i="17"/>
  <c r="MV74" i="17"/>
  <c r="IS74" i="17"/>
  <c r="GQ74" i="17"/>
  <c r="KJ70" i="17"/>
  <c r="KL70" i="17" s="1"/>
  <c r="KM70" i="17" s="1"/>
  <c r="KR70" i="17" s="1"/>
  <c r="LL70" i="17" s="1"/>
  <c r="KP70" i="17"/>
  <c r="LQ70" i="17" s="1"/>
  <c r="KK70" i="17"/>
  <c r="LU69" i="17"/>
  <c r="KS69" i="17"/>
  <c r="KF72" i="17"/>
  <c r="KI71" i="17"/>
  <c r="LB71" i="17" s="1"/>
  <c r="LD71" i="17" s="1"/>
  <c r="IJ26" i="17"/>
  <c r="IP26" i="17" s="1"/>
  <c r="IQ26" i="17" s="1"/>
  <c r="II27" i="17"/>
  <c r="IH27" i="17"/>
  <c r="IK25" i="17"/>
  <c r="IG28" i="17"/>
  <c r="IZ28" i="17" s="1"/>
  <c r="JB28" i="17" s="1"/>
  <c r="JR27" i="17"/>
  <c r="JS27" i="17" l="1"/>
  <c r="IN28" i="17"/>
  <c r="JO28" i="17" s="1"/>
  <c r="KJ71" i="17"/>
  <c r="KL71" i="17" s="1"/>
  <c r="KM71" i="17" s="1"/>
  <c r="KR71" i="17" s="1"/>
  <c r="LL71" i="17" s="1"/>
  <c r="KP71" i="17"/>
  <c r="LQ71" i="17" s="1"/>
  <c r="KK71" i="17"/>
  <c r="KF73" i="17"/>
  <c r="KI72" i="17"/>
  <c r="LB72" i="17" s="1"/>
  <c r="LD72" i="17" s="1"/>
  <c r="LU70" i="17"/>
  <c r="KS70" i="17"/>
  <c r="IG29" i="17"/>
  <c r="IZ29" i="17" s="1"/>
  <c r="JB29" i="17" s="1"/>
  <c r="II28" i="17"/>
  <c r="IK26" i="17"/>
  <c r="JR28" i="17"/>
  <c r="IJ27" i="17"/>
  <c r="IP27" i="17" s="1"/>
  <c r="IQ27" i="17" s="1"/>
  <c r="IH28" i="17"/>
  <c r="JS28" i="17" l="1"/>
  <c r="IN29" i="17"/>
  <c r="JO29" i="17" s="1"/>
  <c r="KF74" i="17"/>
  <c r="KI74" i="17" s="1"/>
  <c r="LB74" i="17" s="1"/>
  <c r="LD74" i="17" s="1"/>
  <c r="KI73" i="17"/>
  <c r="LB73" i="17" s="1"/>
  <c r="LD73" i="17" s="1"/>
  <c r="LU71" i="17"/>
  <c r="KS71" i="17"/>
  <c r="KJ72" i="17"/>
  <c r="KL72" i="17" s="1"/>
  <c r="KM72" i="17" s="1"/>
  <c r="KR72" i="17" s="1"/>
  <c r="LL72" i="17" s="1"/>
  <c r="KP72" i="17"/>
  <c r="LQ72" i="17" s="1"/>
  <c r="KK72" i="17"/>
  <c r="IK27" i="17"/>
  <c r="IG30" i="17"/>
  <c r="IZ30" i="17" s="1"/>
  <c r="JB30" i="17" s="1"/>
  <c r="JR29" i="17"/>
  <c r="IJ28" i="17"/>
  <c r="IP28" i="17" s="1"/>
  <c r="IQ28" i="17" s="1"/>
  <c r="JJ25" i="17"/>
  <c r="II29" i="17"/>
  <c r="IH29" i="17"/>
  <c r="JS29" i="17" l="1"/>
  <c r="IN30" i="17"/>
  <c r="JO30" i="17" s="1"/>
  <c r="LU72" i="17"/>
  <c r="KS72" i="17"/>
  <c r="KJ73" i="17"/>
  <c r="KL73" i="17" s="1"/>
  <c r="KM73" i="17" s="1"/>
  <c r="KR73" i="17" s="1"/>
  <c r="LL73" i="17" s="1"/>
  <c r="KP73" i="17"/>
  <c r="LQ73" i="17" s="1"/>
  <c r="KK73" i="17"/>
  <c r="KP74" i="17"/>
  <c r="LQ74" i="17" s="1"/>
  <c r="KJ74" i="17"/>
  <c r="KL74" i="17" s="1"/>
  <c r="KM74" i="17" s="1"/>
  <c r="KR74" i="17" s="1"/>
  <c r="LL74" i="17" s="1"/>
  <c r="KK74" i="17"/>
  <c r="JJ26" i="17"/>
  <c r="IJ29" i="17"/>
  <c r="IP29" i="17" s="1"/>
  <c r="IQ29" i="17" s="1"/>
  <c r="II30" i="17"/>
  <c r="IK28" i="17"/>
  <c r="IH30" i="17"/>
  <c r="IG31" i="17"/>
  <c r="IZ31" i="17" s="1"/>
  <c r="JB31" i="17" s="1"/>
  <c r="JR30" i="17"/>
  <c r="IH24" i="17"/>
  <c r="LL21" i="17"/>
  <c r="LL12" i="17" l="1"/>
  <c r="JS30" i="17"/>
  <c r="LU73" i="17"/>
  <c r="KS73" i="17"/>
  <c r="LU74" i="17"/>
  <c r="KS74" i="17"/>
  <c r="JJ27" i="17"/>
  <c r="II31" i="17"/>
  <c r="IG32" i="17"/>
  <c r="IZ32" i="17" s="1"/>
  <c r="JB32" i="17" s="1"/>
  <c r="JR31" i="17"/>
  <c r="IN31" i="17"/>
  <c r="JO31" i="17" s="1"/>
  <c r="IJ30" i="17"/>
  <c r="IP30" i="17" s="1"/>
  <c r="IQ30" i="17" s="1"/>
  <c r="IJ24" i="17"/>
  <c r="IP24" i="17" s="1"/>
  <c r="IH31" i="17"/>
  <c r="IK29" i="17"/>
  <c r="IQ24" i="17" l="1"/>
  <c r="IN32" i="17"/>
  <c r="JO32" i="17" s="1"/>
  <c r="JJ28" i="17"/>
  <c r="IK30" i="17"/>
  <c r="JS31" i="17"/>
  <c r="IG33" i="17"/>
  <c r="IZ33" i="17" s="1"/>
  <c r="JB33" i="17" s="1"/>
  <c r="JR32" i="17"/>
  <c r="IJ31" i="17"/>
  <c r="IP31" i="17" s="1"/>
  <c r="IQ31" i="17" s="1"/>
  <c r="II32" i="17"/>
  <c r="IK24" i="17"/>
  <c r="IH32" i="17"/>
  <c r="JS32" i="17" l="1"/>
  <c r="IK31" i="17"/>
  <c r="II33" i="17"/>
  <c r="JR33" i="17"/>
  <c r="IJ32" i="17"/>
  <c r="IP32" i="17" s="1"/>
  <c r="IQ32" i="17" s="1"/>
  <c r="IG34" i="17"/>
  <c r="IZ34" i="17" s="1"/>
  <c r="JB34" i="17" s="1"/>
  <c r="IN33" i="17"/>
  <c r="JJ29" i="17"/>
  <c r="IH33" i="17"/>
  <c r="JS33" i="17" l="1"/>
  <c r="JO33" i="17"/>
  <c r="IH34" i="17"/>
  <c r="IJ34" i="17" s="1"/>
  <c r="IP34" i="17" s="1"/>
  <c r="IN34" i="17"/>
  <c r="JR34" i="17"/>
  <c r="JJ24" i="17"/>
  <c r="IG35" i="17"/>
  <c r="IZ35" i="17" s="1"/>
  <c r="JB35" i="17" s="1"/>
  <c r="IK32" i="17"/>
  <c r="IJ33" i="17"/>
  <c r="IP33" i="17" s="1"/>
  <c r="IQ33" i="17" s="1"/>
  <c r="JJ30" i="17"/>
  <c r="II34" i="17"/>
  <c r="IQ34" i="17" l="1"/>
  <c r="IH35" i="17"/>
  <c r="IJ35" i="17" s="1"/>
  <c r="IP35" i="17" s="1"/>
  <c r="JS34" i="17"/>
  <c r="JO34" i="17"/>
  <c r="IK34" i="17"/>
  <c r="JR35" i="17"/>
  <c r="JJ31" i="17"/>
  <c r="IK33" i="17"/>
  <c r="II35" i="17"/>
  <c r="IG36" i="17"/>
  <c r="IZ36" i="17" s="1"/>
  <c r="JB36" i="17" s="1"/>
  <c r="IN35" i="17"/>
  <c r="IQ35" i="17" l="1"/>
  <c r="JS35" i="17"/>
  <c r="JO35" i="17"/>
  <c r="IH36" i="17"/>
  <c r="IJ36" i="17" s="1"/>
  <c r="IP36" i="17" s="1"/>
  <c r="IN36" i="17"/>
  <c r="IG37" i="17"/>
  <c r="IZ37" i="17" s="1"/>
  <c r="JB37" i="17" s="1"/>
  <c r="JR36" i="17"/>
  <c r="JJ32" i="17"/>
  <c r="IK35" i="17"/>
  <c r="II36" i="17"/>
  <c r="IQ36" i="17" l="1"/>
  <c r="JS36" i="17"/>
  <c r="JO36" i="17"/>
  <c r="IN37" i="17"/>
  <c r="JO37" i="17" s="1"/>
  <c r="IH37" i="17"/>
  <c r="IJ37" i="17" s="1"/>
  <c r="IP37" i="17" s="1"/>
  <c r="JJ34" i="17"/>
  <c r="IK36" i="17"/>
  <c r="IG38" i="17"/>
  <c r="IZ38" i="17" s="1"/>
  <c r="JB38" i="17" s="1"/>
  <c r="JR37" i="17"/>
  <c r="JJ33" i="17"/>
  <c r="II37" i="17"/>
  <c r="JS37" i="17" l="1"/>
  <c r="IQ37" i="17"/>
  <c r="II38" i="17"/>
  <c r="IN38" i="17"/>
  <c r="IK37" i="17"/>
  <c r="JJ35" i="17"/>
  <c r="JR38" i="17"/>
  <c r="IG39" i="17"/>
  <c r="IZ39" i="17" s="1"/>
  <c r="JB39" i="17" s="1"/>
  <c r="IH38" i="17"/>
  <c r="JS38" i="17" l="1"/>
  <c r="JO38" i="17"/>
  <c r="IH39" i="17"/>
  <c r="IJ39" i="17" s="1"/>
  <c r="IP39" i="17" s="1"/>
  <c r="IN39" i="17"/>
  <c r="IJ38" i="17"/>
  <c r="IP38" i="17" s="1"/>
  <c r="IQ38" i="17" s="1"/>
  <c r="II39" i="17"/>
  <c r="IG40" i="17"/>
  <c r="IZ40" i="17" s="1"/>
  <c r="JB40" i="17" s="1"/>
  <c r="JJ36" i="17"/>
  <c r="JR39" i="17"/>
  <c r="IN40" i="17" l="1"/>
  <c r="JO40" i="17" s="1"/>
  <c r="JS39" i="17"/>
  <c r="JO39" i="17"/>
  <c r="IQ39" i="17"/>
  <c r="JJ37" i="17"/>
  <c r="IG41" i="17"/>
  <c r="IZ41" i="17" s="1"/>
  <c r="JB41" i="17" s="1"/>
  <c r="JR40" i="17"/>
  <c r="IK39" i="17"/>
  <c r="II40" i="17"/>
  <c r="IK38" i="17"/>
  <c r="IH40" i="17"/>
  <c r="JS40" i="17" l="1"/>
  <c r="IN41" i="17"/>
  <c r="JO41" i="17" s="1"/>
  <c r="IH41" i="17"/>
  <c r="IJ41" i="17" s="1"/>
  <c r="IP41" i="17" s="1"/>
  <c r="IJ40" i="17"/>
  <c r="IP40" i="17" s="1"/>
  <c r="IQ40" i="17" s="1"/>
  <c r="IG42" i="17"/>
  <c r="IZ42" i="17" s="1"/>
  <c r="JB42" i="17" s="1"/>
  <c r="JR41" i="17"/>
  <c r="II41" i="17"/>
  <c r="JS41" i="17" l="1"/>
  <c r="IQ41" i="17"/>
  <c r="IN42" i="17"/>
  <c r="JO42" i="17" s="1"/>
  <c r="IH42" i="17"/>
  <c r="IJ42" i="17" s="1"/>
  <c r="IP42" i="17" s="1"/>
  <c r="JJ38" i="17"/>
  <c r="JJ39" i="17"/>
  <c r="IG43" i="17"/>
  <c r="IZ43" i="17" s="1"/>
  <c r="JB43" i="17" s="1"/>
  <c r="IK41" i="17"/>
  <c r="JR42" i="17"/>
  <c r="IK40" i="17"/>
  <c r="II42" i="17"/>
  <c r="JS42" i="17" l="1"/>
  <c r="IQ42" i="17"/>
  <c r="IN43" i="17"/>
  <c r="JO43" i="17" s="1"/>
  <c r="IH43" i="17"/>
  <c r="IJ43" i="17" s="1"/>
  <c r="IP43" i="17" s="1"/>
  <c r="IG44" i="17"/>
  <c r="IZ44" i="17" s="1"/>
  <c r="JB44" i="17" s="1"/>
  <c r="JR43" i="17"/>
  <c r="II43" i="17"/>
  <c r="IK42" i="17"/>
  <c r="IH44" i="17" l="1"/>
  <c r="IJ44" i="17" s="1"/>
  <c r="IP44" i="17" s="1"/>
  <c r="IQ43" i="17"/>
  <c r="JS43" i="17"/>
  <c r="JR44" i="17"/>
  <c r="JJ41" i="17"/>
  <c r="II44" i="17"/>
  <c r="IK43" i="17"/>
  <c r="IG45" i="17"/>
  <c r="IZ45" i="17" s="1"/>
  <c r="JB45" i="17" s="1"/>
  <c r="IN44" i="17"/>
  <c r="JO44" i="17" s="1"/>
  <c r="JJ40" i="17"/>
  <c r="IQ44" i="17" l="1"/>
  <c r="IH45" i="17"/>
  <c r="IJ45" i="17" s="1"/>
  <c r="IP45" i="17" s="1"/>
  <c r="IN45" i="17"/>
  <c r="JJ42" i="17"/>
  <c r="II45" i="17"/>
  <c r="JS44" i="17"/>
  <c r="IG46" i="17"/>
  <c r="IZ46" i="17" s="1"/>
  <c r="JB46" i="17" s="1"/>
  <c r="JR45" i="17"/>
  <c r="IK44" i="17"/>
  <c r="IQ45" i="17" l="1"/>
  <c r="IN46" i="17"/>
  <c r="JO46" i="17" s="1"/>
  <c r="JS45" i="17"/>
  <c r="JO45" i="17"/>
  <c r="IG47" i="17"/>
  <c r="IZ47" i="17" s="1"/>
  <c r="JB47" i="17" s="1"/>
  <c r="IK45" i="17"/>
  <c r="JJ43" i="17"/>
  <c r="JR46" i="17"/>
  <c r="II46" i="17"/>
  <c r="IH46" i="17"/>
  <c r="JS46" i="17" l="1"/>
  <c r="IH47" i="17"/>
  <c r="IJ47" i="17" s="1"/>
  <c r="IP47" i="17" s="1"/>
  <c r="IN47" i="17"/>
  <c r="JJ44" i="17"/>
  <c r="II47" i="17"/>
  <c r="IJ46" i="17"/>
  <c r="IP46" i="17" s="1"/>
  <c r="IQ46" i="17" s="1"/>
  <c r="IG48" i="17"/>
  <c r="IZ48" i="17" s="1"/>
  <c r="JB48" i="17" s="1"/>
  <c r="JR47" i="17"/>
  <c r="IQ47" i="17" l="1"/>
  <c r="IN48" i="17"/>
  <c r="JO48" i="17" s="1"/>
  <c r="JS47" i="17"/>
  <c r="JO47" i="17"/>
  <c r="IH48" i="17"/>
  <c r="JR48" i="17"/>
  <c r="IG49" i="17"/>
  <c r="IZ49" i="17" s="1"/>
  <c r="JB49" i="17" s="1"/>
  <c r="JJ45" i="17"/>
  <c r="II48" i="17"/>
  <c r="IK46" i="17"/>
  <c r="IK47" i="17"/>
  <c r="IH49" i="17" l="1"/>
  <c r="IJ49" i="17" s="1"/>
  <c r="IP49" i="17" s="1"/>
  <c r="JS48" i="17"/>
  <c r="IJ48" i="17"/>
  <c r="IP48" i="17" s="1"/>
  <c r="IQ48" i="17" s="1"/>
  <c r="IN49" i="17"/>
  <c r="IG50" i="17"/>
  <c r="IZ50" i="17" s="1"/>
  <c r="JB50" i="17" s="1"/>
  <c r="JR49" i="17"/>
  <c r="II49" i="17"/>
  <c r="IQ49" i="17" l="1"/>
  <c r="JS49" i="17"/>
  <c r="JO49" i="17"/>
  <c r="IH50" i="17"/>
  <c r="IJ50" i="17" s="1"/>
  <c r="IP50" i="17" s="1"/>
  <c r="IK48" i="17"/>
  <c r="II50" i="17"/>
  <c r="JJ46" i="17"/>
  <c r="IG51" i="17"/>
  <c r="IZ51" i="17" s="1"/>
  <c r="JB51" i="17" s="1"/>
  <c r="JR50" i="17"/>
  <c r="IN50" i="17"/>
  <c r="IK49" i="17"/>
  <c r="JJ47" i="17"/>
  <c r="IQ50" i="17" l="1"/>
  <c r="JS50" i="17"/>
  <c r="JO50" i="17"/>
  <c r="IH51" i="17"/>
  <c r="IJ51" i="17" s="1"/>
  <c r="IP51" i="17" s="1"/>
  <c r="JR51" i="17"/>
  <c r="II51" i="17"/>
  <c r="IG52" i="17"/>
  <c r="IZ52" i="17" s="1"/>
  <c r="JB52" i="17" s="1"/>
  <c r="IN51" i="17"/>
  <c r="JJ48" i="17"/>
  <c r="IK50" i="17"/>
  <c r="IQ51" i="17" l="1"/>
  <c r="IH52" i="17"/>
  <c r="IJ52" i="17" s="1"/>
  <c r="IP52" i="17" s="1"/>
  <c r="JS51" i="17"/>
  <c r="JO51" i="17"/>
  <c r="IN52" i="17"/>
  <c r="JJ49" i="17"/>
  <c r="IK51" i="17"/>
  <c r="IG53" i="17"/>
  <c r="IZ53" i="17" s="1"/>
  <c r="JB53" i="17" s="1"/>
  <c r="JR52" i="17"/>
  <c r="II52" i="17"/>
  <c r="IQ52" i="17" l="1"/>
  <c r="IN53" i="17"/>
  <c r="JO53" i="17" s="1"/>
  <c r="JS52" i="17"/>
  <c r="JO52" i="17"/>
  <c r="IG54" i="17"/>
  <c r="IZ54" i="17" s="1"/>
  <c r="JB54" i="17" s="1"/>
  <c r="JR53" i="17"/>
  <c r="II53" i="17"/>
  <c r="IH53" i="17"/>
  <c r="JJ50" i="17"/>
  <c r="IK52" i="17"/>
  <c r="JS53" i="17" l="1"/>
  <c r="IN54" i="17"/>
  <c r="JO54" i="17" s="1"/>
  <c r="IH54" i="17"/>
  <c r="IJ54" i="17" s="1"/>
  <c r="IP54" i="17" s="1"/>
  <c r="JJ51" i="17"/>
  <c r="II54" i="17"/>
  <c r="IJ53" i="17"/>
  <c r="IP53" i="17" s="1"/>
  <c r="IQ53" i="17" s="1"/>
  <c r="IG55" i="17"/>
  <c r="IZ55" i="17" s="1"/>
  <c r="JB55" i="17" s="1"/>
  <c r="JR54" i="17"/>
  <c r="IH55" i="17" l="1"/>
  <c r="IJ55" i="17" s="1"/>
  <c r="IP55" i="17" s="1"/>
  <c r="IQ54" i="17"/>
  <c r="JS54" i="17"/>
  <c r="IN55" i="17"/>
  <c r="IG56" i="17"/>
  <c r="IZ56" i="17" s="1"/>
  <c r="JB56" i="17" s="1"/>
  <c r="JJ52" i="17"/>
  <c r="II55" i="17"/>
  <c r="IK53" i="17"/>
  <c r="JR55" i="17"/>
  <c r="IK54" i="17"/>
  <c r="IQ55" i="17" l="1"/>
  <c r="IH56" i="17"/>
  <c r="IJ56" i="17" s="1"/>
  <c r="IP56" i="17" s="1"/>
  <c r="JS55" i="17"/>
  <c r="JO55" i="17"/>
  <c r="IG57" i="17"/>
  <c r="IZ57" i="17" s="1"/>
  <c r="JB57" i="17" s="1"/>
  <c r="JR56" i="17"/>
  <c r="IK55" i="17"/>
  <c r="II56" i="17"/>
  <c r="IN56" i="17"/>
  <c r="IQ56" i="17" l="1"/>
  <c r="IH57" i="17"/>
  <c r="IJ57" i="17" s="1"/>
  <c r="JS56" i="17"/>
  <c r="JO56" i="17"/>
  <c r="JJ53" i="17"/>
  <c r="II57" i="17"/>
  <c r="IN57" i="17"/>
  <c r="JJ54" i="17"/>
  <c r="IG58" i="17"/>
  <c r="IZ58" i="17" s="1"/>
  <c r="JB58" i="17" s="1"/>
  <c r="JR57" i="17"/>
  <c r="JS57" i="17" l="1"/>
  <c r="JO57" i="17"/>
  <c r="IH58" i="17"/>
  <c r="IJ58" i="17" s="1"/>
  <c r="IP58" i="17" s="1"/>
  <c r="IP57" i="17"/>
  <c r="IQ57" i="17" s="1"/>
  <c r="IN22" i="17"/>
  <c r="IN58" i="17"/>
  <c r="IK56" i="17"/>
  <c r="IK57" i="17"/>
  <c r="IG59" i="17"/>
  <c r="IZ59" i="17" s="1"/>
  <c r="JB59" i="17" s="1"/>
  <c r="JJ55" i="17"/>
  <c r="JR58" i="17"/>
  <c r="II58" i="17"/>
  <c r="JO21" i="17"/>
  <c r="IQ58" i="17" l="1"/>
  <c r="JO12" i="17"/>
  <c r="JS58" i="17"/>
  <c r="JO58" i="17"/>
  <c r="IN59" i="17"/>
  <c r="JO59" i="17" s="1"/>
  <c r="IQ22" i="17"/>
  <c r="JO22" i="17"/>
  <c r="IP22" i="17"/>
  <c r="JI22" i="17" s="1"/>
  <c r="IH59" i="17"/>
  <c r="II59" i="17"/>
  <c r="IK58" i="17"/>
  <c r="IG60" i="17"/>
  <c r="IZ60" i="17" s="1"/>
  <c r="JB60" i="17" s="1"/>
  <c r="JR59" i="17"/>
  <c r="JS59" i="17" l="1"/>
  <c r="IN60" i="17"/>
  <c r="JO60" i="17" s="1"/>
  <c r="JM22" i="17"/>
  <c r="IX22" i="17"/>
  <c r="IY22" i="17" s="1"/>
  <c r="JA22" i="17" s="1"/>
  <c r="JR60" i="17"/>
  <c r="IG61" i="17"/>
  <c r="IZ61" i="17" s="1"/>
  <c r="JB61" i="17" s="1"/>
  <c r="IJ59" i="17"/>
  <c r="IP59" i="17" s="1"/>
  <c r="IQ59" i="17" s="1"/>
  <c r="II60" i="17"/>
  <c r="JJ56" i="17"/>
  <c r="IH60" i="17"/>
  <c r="JJ57" i="17"/>
  <c r="JS60" i="17" l="1"/>
  <c r="II61" i="17"/>
  <c r="IN61" i="17"/>
  <c r="IJ60" i="17"/>
  <c r="IP60" i="17" s="1"/>
  <c r="IQ60" i="17" s="1"/>
  <c r="JJ58" i="17"/>
  <c r="IH61" i="17"/>
  <c r="IK59" i="17"/>
  <c r="IG62" i="17"/>
  <c r="IZ62" i="17" s="1"/>
  <c r="JB62" i="17" s="1"/>
  <c r="JR61" i="17"/>
  <c r="IN62" i="17" l="1"/>
  <c r="JO62" i="17" s="1"/>
  <c r="JS61" i="17"/>
  <c r="JO61" i="17"/>
  <c r="IG63" i="17"/>
  <c r="IZ63" i="17" s="1"/>
  <c r="JB63" i="17" s="1"/>
  <c r="JR62" i="17"/>
  <c r="IH62" i="17"/>
  <c r="IK60" i="17"/>
  <c r="IJ61" i="17"/>
  <c r="IP61" i="17" s="1"/>
  <c r="IQ61" i="17" s="1"/>
  <c r="II62" i="17"/>
  <c r="JS62" i="17" l="1"/>
  <c r="IN63" i="17"/>
  <c r="JO63" i="17" s="1"/>
  <c r="IH63" i="17"/>
  <c r="IJ63" i="17" s="1"/>
  <c r="IP63" i="17" s="1"/>
  <c r="IK61" i="17"/>
  <c r="JJ59" i="17"/>
  <c r="IG64" i="17"/>
  <c r="IZ64" i="17" s="1"/>
  <c r="JB64" i="17" s="1"/>
  <c r="II63" i="17"/>
  <c r="IJ62" i="17"/>
  <c r="IP62" i="17" s="1"/>
  <c r="IQ62" i="17" s="1"/>
  <c r="JR63" i="17"/>
  <c r="IQ63" i="17" l="1"/>
  <c r="JS63" i="17"/>
  <c r="IN64" i="17"/>
  <c r="JO64" i="17" s="1"/>
  <c r="IG65" i="17"/>
  <c r="IZ65" i="17" s="1"/>
  <c r="JB65" i="17" s="1"/>
  <c r="IK63" i="17"/>
  <c r="II64" i="17"/>
  <c r="IK62" i="17"/>
  <c r="JJ60" i="17"/>
  <c r="JR64" i="17"/>
  <c r="IH64" i="17"/>
  <c r="JS64" i="17" l="1"/>
  <c r="IN65" i="17"/>
  <c r="JO65" i="17" s="1"/>
  <c r="IH65" i="17"/>
  <c r="IJ65" i="17" s="1"/>
  <c r="IP65" i="17" s="1"/>
  <c r="JJ61" i="17"/>
  <c r="IG66" i="17"/>
  <c r="IZ66" i="17" s="1"/>
  <c r="JB66" i="17" s="1"/>
  <c r="JR65" i="17"/>
  <c r="IJ64" i="17"/>
  <c r="IP64" i="17" s="1"/>
  <c r="IQ64" i="17" s="1"/>
  <c r="II65" i="17"/>
  <c r="IN66" i="17" l="1"/>
  <c r="JO66" i="17" s="1"/>
  <c r="IQ65" i="17"/>
  <c r="JS65" i="17"/>
  <c r="IG67" i="17"/>
  <c r="IZ67" i="17" s="1"/>
  <c r="JB67" i="17" s="1"/>
  <c r="JJ63" i="17"/>
  <c r="II66" i="17"/>
  <c r="JR66" i="17"/>
  <c r="IK65" i="17"/>
  <c r="IK64" i="17"/>
  <c r="JJ62" i="17"/>
  <c r="IH66" i="17"/>
  <c r="JS66" i="17" l="1"/>
  <c r="II67" i="17"/>
  <c r="JR67" i="17"/>
  <c r="IJ66" i="17"/>
  <c r="IP66" i="17" s="1"/>
  <c r="IQ66" i="17" s="1"/>
  <c r="IH67" i="17"/>
  <c r="IN67" i="17"/>
  <c r="IG68" i="17"/>
  <c r="IZ68" i="17" s="1"/>
  <c r="JB68" i="17" s="1"/>
  <c r="IH68" i="17" l="1"/>
  <c r="IJ68" i="17" s="1"/>
  <c r="IP68" i="17" s="1"/>
  <c r="JS67" i="17"/>
  <c r="JO67" i="17"/>
  <c r="II68" i="17"/>
  <c r="IN68" i="17"/>
  <c r="IJ67" i="17"/>
  <c r="IP67" i="17" s="1"/>
  <c r="IQ67" i="17" s="1"/>
  <c r="IG69" i="17"/>
  <c r="IZ69" i="17" s="1"/>
  <c r="JB69" i="17" s="1"/>
  <c r="JJ65" i="17"/>
  <c r="JR68" i="17"/>
  <c r="IK66" i="17"/>
  <c r="JJ64" i="17"/>
  <c r="IQ68" i="17" l="1"/>
  <c r="JS68" i="17"/>
  <c r="JO68" i="17"/>
  <c r="II69" i="17"/>
  <c r="IK67" i="17"/>
  <c r="IK68" i="17"/>
  <c r="IH69" i="17"/>
  <c r="IG70" i="17"/>
  <c r="IZ70" i="17" s="1"/>
  <c r="JB70" i="17" s="1"/>
  <c r="IN69" i="17"/>
  <c r="JR69" i="17"/>
  <c r="JS69" i="17" l="1"/>
  <c r="JO69" i="17"/>
  <c r="IH70" i="17"/>
  <c r="IJ70" i="17" s="1"/>
  <c r="IP70" i="17" s="1"/>
  <c r="IG71" i="17"/>
  <c r="IZ71" i="17" s="1"/>
  <c r="JB71" i="17" s="1"/>
  <c r="JJ66" i="17"/>
  <c r="II70" i="17"/>
  <c r="IJ69" i="17"/>
  <c r="IP69" i="17" s="1"/>
  <c r="IQ69" i="17" s="1"/>
  <c r="JR70" i="17"/>
  <c r="IN70" i="17"/>
  <c r="IQ70" i="17" l="1"/>
  <c r="JS70" i="17"/>
  <c r="JO70" i="17"/>
  <c r="IN71" i="17"/>
  <c r="JO71" i="17" s="1"/>
  <c r="JJ67" i="17"/>
  <c r="IH71" i="17"/>
  <c r="JJ68" i="17"/>
  <c r="JR71" i="17"/>
  <c r="II71" i="17"/>
  <c r="IK70" i="17"/>
  <c r="IK69" i="17"/>
  <c r="IG72" i="17"/>
  <c r="IZ72" i="17" s="1"/>
  <c r="JB72" i="17" s="1"/>
  <c r="IN72" i="17" l="1"/>
  <c r="JO72" i="17" s="1"/>
  <c r="JS71" i="17"/>
  <c r="II72" i="17"/>
  <c r="IH72" i="17"/>
  <c r="IJ71" i="17"/>
  <c r="IP71" i="17" s="1"/>
  <c r="IQ71" i="17" s="1"/>
  <c r="JR72" i="17"/>
  <c r="IG73" i="17"/>
  <c r="IZ73" i="17" s="1"/>
  <c r="JB73" i="17" s="1"/>
  <c r="JS72" i="17" l="1"/>
  <c r="IH73" i="17"/>
  <c r="IJ73" i="17" s="1"/>
  <c r="IP73" i="17" s="1"/>
  <c r="IG74" i="17"/>
  <c r="IZ74" i="17" s="1"/>
  <c r="JB74" i="17" s="1"/>
  <c r="IN73" i="17"/>
  <c r="JO73" i="17" s="1"/>
  <c r="II73" i="17"/>
  <c r="JJ69" i="17"/>
  <c r="JJ70" i="17"/>
  <c r="JR73" i="17"/>
  <c r="IK71" i="17"/>
  <c r="IJ72" i="17"/>
  <c r="IP72" i="17" s="1"/>
  <c r="IQ72" i="17" s="1"/>
  <c r="IQ73" i="17" l="1"/>
  <c r="IK72" i="17"/>
  <c r="II74" i="17"/>
  <c r="IK73" i="17"/>
  <c r="JS73" i="17"/>
  <c r="JR74" i="17"/>
  <c r="IH74" i="17"/>
  <c r="IN74" i="17"/>
  <c r="JO74" i="17" s="1"/>
  <c r="JR21" i="17"/>
  <c r="JR12" i="17" l="1"/>
  <c r="IJ74" i="17"/>
  <c r="IP74" i="17" s="1"/>
  <c r="IQ74" i="17" s="1"/>
  <c r="JS74" i="17"/>
  <c r="JJ71" i="17"/>
  <c r="JS21" i="17"/>
  <c r="JS12" i="17" l="1"/>
  <c r="JU17" i="17"/>
  <c r="JT17" i="17"/>
  <c r="JT21" i="17"/>
  <c r="JT12" i="17" s="1"/>
  <c r="JJ72" i="17"/>
  <c r="IK74" i="17"/>
  <c r="JJ73" i="17"/>
  <c r="JJ74" i="17" l="1"/>
  <c r="JJ21" i="17"/>
  <c r="JJ12" i="17" l="1"/>
  <c r="Z24" i="17"/>
  <c r="NU24" i="17"/>
  <c r="J24" i="17" l="1"/>
  <c r="F24" i="17" l="1"/>
  <c r="I24" i="17"/>
  <c r="MJ24" i="17"/>
  <c r="H24" i="17" l="1"/>
  <c r="IR24" i="17"/>
  <c r="MU24" i="17"/>
  <c r="NT24" i="17" s="1"/>
  <c r="GP24" i="17"/>
  <c r="KT24" i="17"/>
  <c r="Z27" i="17"/>
  <c r="MJ27" i="17"/>
  <c r="J27" i="17"/>
  <c r="Z26" i="17"/>
  <c r="MJ26" i="17"/>
  <c r="J26" i="17"/>
  <c r="Z25" i="17"/>
  <c r="MJ25" i="17"/>
  <c r="J25" i="17"/>
  <c r="K24" i="17"/>
  <c r="MK24" i="17"/>
  <c r="L24" i="17" s="1"/>
  <c r="JN24" i="17" l="1"/>
  <c r="Y24" i="17"/>
  <c r="T24" i="17" s="1"/>
  <c r="KV24" i="17"/>
  <c r="KW24" i="17" s="1"/>
  <c r="KX24" i="17" s="1"/>
  <c r="KZ24" i="17" s="1"/>
  <c r="LA24" i="17" s="1"/>
  <c r="LP24" i="17"/>
  <c r="NQ24" i="17"/>
  <c r="F27" i="17"/>
  <c r="I27" i="17"/>
  <c r="F26" i="17"/>
  <c r="MU26" i="17" s="1"/>
  <c r="I26" i="17"/>
  <c r="F25" i="17"/>
  <c r="I25" i="17"/>
  <c r="GR24" i="17"/>
  <c r="HL24" i="17"/>
  <c r="IT24" i="17"/>
  <c r="MM24" i="17"/>
  <c r="N24" i="17" s="1"/>
  <c r="MQ24" i="17"/>
  <c r="MK26" i="17"/>
  <c r="L26" i="17" s="1"/>
  <c r="K26" i="17"/>
  <c r="NU26" i="17"/>
  <c r="Z28" i="17"/>
  <c r="MJ28" i="17"/>
  <c r="J28" i="17"/>
  <c r="K25" i="17"/>
  <c r="MK25" i="17"/>
  <c r="L25" i="17" s="1"/>
  <c r="K27" i="17"/>
  <c r="MK27" i="17"/>
  <c r="L27" i="17" s="1"/>
  <c r="NU25" i="17"/>
  <c r="NU27" i="17"/>
  <c r="NR24" i="17" l="1"/>
  <c r="LM24" i="17"/>
  <c r="NT26" i="17"/>
  <c r="NQ26" i="17"/>
  <c r="H26" i="17"/>
  <c r="Y26" i="17" s="1"/>
  <c r="T26" i="17" s="1"/>
  <c r="IR26" i="17"/>
  <c r="H25" i="17"/>
  <c r="Y25" i="17" s="1"/>
  <c r="T25" i="17" s="1"/>
  <c r="IR25" i="17"/>
  <c r="H27" i="17"/>
  <c r="Y27" i="17" s="1"/>
  <c r="T27" i="17" s="1"/>
  <c r="IR27" i="17"/>
  <c r="LN24" i="17"/>
  <c r="GS24" i="17"/>
  <c r="GT24" i="17" s="1"/>
  <c r="GV24" i="17" s="1"/>
  <c r="IU24" i="17"/>
  <c r="IV24" i="17" s="1"/>
  <c r="IX24" i="17" s="1"/>
  <c r="GP27" i="17"/>
  <c r="GR27" i="17" s="1"/>
  <c r="KT26" i="17"/>
  <c r="LP26" i="17" s="1"/>
  <c r="KT27" i="17"/>
  <c r="MU25" i="17"/>
  <c r="MU27" i="17"/>
  <c r="GP25" i="17"/>
  <c r="GR25" i="17" s="1"/>
  <c r="F28" i="17"/>
  <c r="I28" i="17"/>
  <c r="GP26" i="17"/>
  <c r="GR26" i="17" s="1"/>
  <c r="KT25" i="17"/>
  <c r="LP25" i="17" s="1"/>
  <c r="AG24" i="17"/>
  <c r="MN24" i="17"/>
  <c r="MO24" i="17" s="1"/>
  <c r="NV24" i="17"/>
  <c r="MM26" i="17"/>
  <c r="MN26" i="17" s="1"/>
  <c r="Z29" i="17"/>
  <c r="J29" i="17"/>
  <c r="I29" i="17" s="1"/>
  <c r="MJ29" i="17"/>
  <c r="NU28" i="17"/>
  <c r="MQ27" i="17"/>
  <c r="MM25" i="17"/>
  <c r="MQ25" i="17"/>
  <c r="K28" i="17"/>
  <c r="MK28" i="17"/>
  <c r="L28" i="17" s="1"/>
  <c r="MM27" i="17"/>
  <c r="MQ26" i="17"/>
  <c r="JN25" i="17" l="1"/>
  <c r="NR25" i="17"/>
  <c r="NR27" i="17"/>
  <c r="NR26" i="17"/>
  <c r="GW24" i="17"/>
  <c r="GY24" i="17" s="1"/>
  <c r="HA24" i="17" s="1"/>
  <c r="HB24" i="17" s="1"/>
  <c r="NT27" i="17"/>
  <c r="NQ27" i="17"/>
  <c r="IT27" i="17"/>
  <c r="IU27" i="17" s="1"/>
  <c r="IV27" i="17" s="1"/>
  <c r="IX27" i="17" s="1"/>
  <c r="JN27" i="17"/>
  <c r="IT26" i="17"/>
  <c r="IU26" i="17" s="1"/>
  <c r="IV26" i="17" s="1"/>
  <c r="IX26" i="17" s="1"/>
  <c r="JN26" i="17"/>
  <c r="NQ25" i="17"/>
  <c r="NT25" i="17"/>
  <c r="KV27" i="17"/>
  <c r="KW27" i="17" s="1"/>
  <c r="KX27" i="17" s="1"/>
  <c r="KZ27" i="17" s="1"/>
  <c r="LA27" i="17" s="1"/>
  <c r="LP27" i="17"/>
  <c r="HL27" i="17"/>
  <c r="H28" i="17"/>
  <c r="Y28" i="17" s="1"/>
  <c r="T28" i="17" s="1"/>
  <c r="IR28" i="17"/>
  <c r="HI24" i="17"/>
  <c r="GS26" i="17"/>
  <c r="GT26" i="17" s="1"/>
  <c r="GV26" i="17" s="1"/>
  <c r="GS25" i="17"/>
  <c r="GT25" i="17" s="1"/>
  <c r="GV25" i="17" s="1"/>
  <c r="GS27" i="17"/>
  <c r="GT27" i="17" s="1"/>
  <c r="GV27" i="17" s="1"/>
  <c r="IY24" i="17"/>
  <c r="JK24" i="17"/>
  <c r="KV26" i="17"/>
  <c r="KV25" i="17"/>
  <c r="HL25" i="17"/>
  <c r="IT25" i="17"/>
  <c r="GP28" i="17"/>
  <c r="GR28" i="17" s="1"/>
  <c r="MU28" i="17"/>
  <c r="KT28" i="17"/>
  <c r="LP28" i="17" s="1"/>
  <c r="HL26" i="17"/>
  <c r="F29" i="17"/>
  <c r="LC24" i="17"/>
  <c r="AG26" i="17"/>
  <c r="AG25" i="17"/>
  <c r="AG27" i="17"/>
  <c r="O24" i="17"/>
  <c r="MM28" i="17"/>
  <c r="N28" i="17" s="1"/>
  <c r="N26" i="17"/>
  <c r="NV26" i="17"/>
  <c r="NV25" i="17"/>
  <c r="Z30" i="17"/>
  <c r="MJ30" i="17"/>
  <c r="J30" i="17"/>
  <c r="MN27" i="17"/>
  <c r="N27" i="17"/>
  <c r="K29" i="17"/>
  <c r="MK29" i="17"/>
  <c r="L29" i="17" s="1"/>
  <c r="P24" i="17"/>
  <c r="MS24" i="17"/>
  <c r="V24" i="17" s="1"/>
  <c r="MQ28" i="17"/>
  <c r="N25" i="17"/>
  <c r="MN25" i="17"/>
  <c r="MO26" i="17"/>
  <c r="O26" i="17"/>
  <c r="NV27" i="17"/>
  <c r="NU29" i="17"/>
  <c r="JN28" i="17" l="1"/>
  <c r="HJ24" i="17"/>
  <c r="NR28" i="17"/>
  <c r="LN27" i="17"/>
  <c r="HJ26" i="17"/>
  <c r="HJ25" i="17"/>
  <c r="HJ27" i="17"/>
  <c r="NT28" i="17"/>
  <c r="NQ28" i="17"/>
  <c r="HC24" i="17"/>
  <c r="HG24" i="17" s="1"/>
  <c r="HD24" i="17"/>
  <c r="LE24" i="17"/>
  <c r="LH24" i="17" s="1"/>
  <c r="HN24" i="17"/>
  <c r="HE24" i="17"/>
  <c r="HI27" i="17"/>
  <c r="H29" i="17"/>
  <c r="Y29" i="17" s="1"/>
  <c r="T29" i="17" s="1"/>
  <c r="IR29" i="17"/>
  <c r="HI26" i="17"/>
  <c r="LM27" i="17"/>
  <c r="HI25" i="17"/>
  <c r="KW25" i="17"/>
  <c r="KX25" i="17" s="1"/>
  <c r="KZ25" i="17" s="1"/>
  <c r="LA25" i="17" s="1"/>
  <c r="KW26" i="17"/>
  <c r="KX26" i="17" s="1"/>
  <c r="KZ26" i="17" s="1"/>
  <c r="LA26" i="17" s="1"/>
  <c r="GS28" i="17"/>
  <c r="GT28" i="17" s="1"/>
  <c r="GV28" i="17" s="1"/>
  <c r="IY26" i="17"/>
  <c r="IY27" i="17"/>
  <c r="JL24" i="17"/>
  <c r="JA24" i="17"/>
  <c r="JC24" i="17" s="1"/>
  <c r="JK27" i="17"/>
  <c r="JK26" i="17"/>
  <c r="IU25" i="17"/>
  <c r="IV25" i="17" s="1"/>
  <c r="IX25" i="17" s="1"/>
  <c r="HL28" i="17"/>
  <c r="MU29" i="17"/>
  <c r="IT28" i="17"/>
  <c r="KV28" i="17"/>
  <c r="F30" i="17"/>
  <c r="I30" i="17"/>
  <c r="GP29" i="17"/>
  <c r="GR29" i="17" s="1"/>
  <c r="KT29" i="17"/>
  <c r="LP29" i="17" s="1"/>
  <c r="AG28" i="17"/>
  <c r="MN28" i="17"/>
  <c r="MO28" i="17" s="1"/>
  <c r="MQ29" i="17"/>
  <c r="NV28" i="17"/>
  <c r="Z31" i="17"/>
  <c r="MJ31" i="17"/>
  <c r="J31" i="17"/>
  <c r="NU30" i="17"/>
  <c r="O25" i="17"/>
  <c r="MO25" i="17"/>
  <c r="MM29" i="17"/>
  <c r="O27" i="17"/>
  <c r="MO27" i="17"/>
  <c r="P26" i="17"/>
  <c r="MS26" i="17"/>
  <c r="V26" i="17" s="1"/>
  <c r="NM24" i="17"/>
  <c r="MT24" i="17"/>
  <c r="MW24" i="17" s="1"/>
  <c r="K30" i="17"/>
  <c r="MK30" i="17"/>
  <c r="L30" i="17" s="1"/>
  <c r="JN29" i="17" l="1"/>
  <c r="GW27" i="17"/>
  <c r="GY27" i="17" s="1"/>
  <c r="HA27" i="17" s="1"/>
  <c r="HD27" i="17" s="1"/>
  <c r="LC27" i="17"/>
  <c r="LE27" i="17" s="1"/>
  <c r="LF27" i="17" s="1"/>
  <c r="GW26" i="17"/>
  <c r="GY26" i="17" s="1"/>
  <c r="HA26" i="17" s="1"/>
  <c r="HC26" i="17" s="1"/>
  <c r="HG26" i="17" s="1"/>
  <c r="NR29" i="17"/>
  <c r="LM26" i="17"/>
  <c r="LM25" i="17"/>
  <c r="GW25" i="17"/>
  <c r="GY25" i="17" s="1"/>
  <c r="HA25" i="17" s="1"/>
  <c r="HB25" i="17" s="1"/>
  <c r="GW28" i="17"/>
  <c r="GY28" i="17" s="1"/>
  <c r="HF24" i="17"/>
  <c r="NQ29" i="17"/>
  <c r="NT29" i="17"/>
  <c r="LG24" i="17"/>
  <c r="LK24" i="17" s="1"/>
  <c r="LF24" i="17"/>
  <c r="LR24" i="17" s="1"/>
  <c r="H30" i="17"/>
  <c r="Y30" i="17" s="1"/>
  <c r="T30" i="17" s="1"/>
  <c r="IR30" i="17"/>
  <c r="LN25" i="17"/>
  <c r="HI28" i="17"/>
  <c r="LN26" i="17"/>
  <c r="KW28" i="17"/>
  <c r="KX28" i="17" s="1"/>
  <c r="KZ28" i="17" s="1"/>
  <c r="LA28" i="17" s="1"/>
  <c r="GS29" i="17"/>
  <c r="GT29" i="17" s="1"/>
  <c r="GV29" i="17" s="1"/>
  <c r="IY25" i="17"/>
  <c r="JL27" i="17"/>
  <c r="JA27" i="17"/>
  <c r="JA26" i="17"/>
  <c r="JC26" i="17" s="1"/>
  <c r="JL26" i="17"/>
  <c r="JK25" i="17"/>
  <c r="IU28" i="17"/>
  <c r="IV28" i="17" s="1"/>
  <c r="IX28" i="17" s="1"/>
  <c r="MU30" i="17"/>
  <c r="IT29" i="17"/>
  <c r="GP30" i="17"/>
  <c r="HL30" i="17" s="1"/>
  <c r="KT30" i="17"/>
  <c r="LP30" i="17" s="1"/>
  <c r="F31" i="17"/>
  <c r="I31" i="17"/>
  <c r="KV29" i="17"/>
  <c r="HL29" i="17"/>
  <c r="O28" i="17"/>
  <c r="MM30" i="17"/>
  <c r="N30" i="17" s="1"/>
  <c r="AG29" i="17"/>
  <c r="NV29" i="17"/>
  <c r="MN29" i="17"/>
  <c r="N29" i="17"/>
  <c r="P25" i="17"/>
  <c r="MS25" i="17"/>
  <c r="V25" i="17" s="1"/>
  <c r="K31" i="17"/>
  <c r="MK31" i="17"/>
  <c r="L31" i="17" s="1"/>
  <c r="MX24" i="17"/>
  <c r="MY24" i="17" s="1"/>
  <c r="MQ30" i="17"/>
  <c r="NM26" i="17"/>
  <c r="MT26" i="17"/>
  <c r="MW26" i="17" s="1"/>
  <c r="Z32" i="17"/>
  <c r="J32" i="17"/>
  <c r="MJ32" i="17"/>
  <c r="NU31" i="17"/>
  <c r="P28" i="17"/>
  <c r="MS28" i="17"/>
  <c r="V28" i="17" s="1"/>
  <c r="P27" i="17"/>
  <c r="MS27" i="17"/>
  <c r="V27" i="17" s="1"/>
  <c r="AA24" i="17" l="1"/>
  <c r="NA24" i="17"/>
  <c r="NB24" i="17" s="1"/>
  <c r="HC27" i="17"/>
  <c r="HG27" i="17" s="1"/>
  <c r="HB27" i="17"/>
  <c r="HN27" i="17" s="1"/>
  <c r="HB26" i="17"/>
  <c r="HN26" i="17" s="1"/>
  <c r="HD26" i="17"/>
  <c r="HJ28" i="17"/>
  <c r="HC25" i="17"/>
  <c r="HG25" i="17" s="1"/>
  <c r="HD25" i="17"/>
  <c r="NR30" i="17"/>
  <c r="LM28" i="17"/>
  <c r="HJ29" i="17"/>
  <c r="HK26" i="17"/>
  <c r="HK24" i="17"/>
  <c r="NT30" i="17"/>
  <c r="NQ30" i="17"/>
  <c r="IT30" i="17"/>
  <c r="IU30" i="17" s="1"/>
  <c r="IV30" i="17" s="1"/>
  <c r="IX30" i="17" s="1"/>
  <c r="JN30" i="17"/>
  <c r="LI24" i="17"/>
  <c r="LJ24" i="17"/>
  <c r="LH27" i="17"/>
  <c r="LR27" i="17"/>
  <c r="LI27" i="17"/>
  <c r="LG27" i="17"/>
  <c r="LK27" i="17" s="1"/>
  <c r="HA28" i="17"/>
  <c r="HD28" i="17" s="1"/>
  <c r="H31" i="17"/>
  <c r="Y31" i="17" s="1"/>
  <c r="T31" i="17" s="1"/>
  <c r="IR31" i="17"/>
  <c r="LC25" i="17"/>
  <c r="LC26" i="17"/>
  <c r="LC28" i="17"/>
  <c r="HI29" i="17"/>
  <c r="KW29" i="17"/>
  <c r="KX29" i="17" s="1"/>
  <c r="KZ29" i="17" s="1"/>
  <c r="LA29" i="17" s="1"/>
  <c r="IY28" i="17"/>
  <c r="JE26" i="17"/>
  <c r="JI26" i="17" s="1"/>
  <c r="JF26" i="17"/>
  <c r="JD26" i="17"/>
  <c r="JG26" i="17" s="1"/>
  <c r="JL25" i="17"/>
  <c r="JA25" i="17"/>
  <c r="JC27" i="17"/>
  <c r="JD27" i="17" s="1"/>
  <c r="JG27" i="17" s="1"/>
  <c r="JE24" i="17"/>
  <c r="JI24" i="17" s="1"/>
  <c r="JD24" i="17"/>
  <c r="JP24" i="17" s="1"/>
  <c r="JF24" i="17"/>
  <c r="JK28" i="17"/>
  <c r="IU29" i="17"/>
  <c r="IV29" i="17" s="1"/>
  <c r="IX29" i="17" s="1"/>
  <c r="GR30" i="17"/>
  <c r="GP31" i="17"/>
  <c r="HL31" i="17" s="1"/>
  <c r="KV30" i="17"/>
  <c r="MU31" i="17"/>
  <c r="KT31" i="17"/>
  <c r="F32" i="17"/>
  <c r="I32" i="17"/>
  <c r="AG30" i="17"/>
  <c r="MN30" i="17"/>
  <c r="O30" i="17" s="1"/>
  <c r="NM28" i="17"/>
  <c r="MT28" i="17"/>
  <c r="MW28" i="17" s="1"/>
  <c r="NN24" i="17"/>
  <c r="MX26" i="17"/>
  <c r="MY26" i="17" s="1"/>
  <c r="NA26" i="17" s="1"/>
  <c r="NB26" i="17" s="1"/>
  <c r="NV30" i="17"/>
  <c r="HF26" i="17"/>
  <c r="MQ31" i="17"/>
  <c r="NM27" i="17"/>
  <c r="MT27" i="17"/>
  <c r="MW27" i="17" s="1"/>
  <c r="Z33" i="17"/>
  <c r="MJ33" i="17"/>
  <c r="J33" i="17"/>
  <c r="NU32" i="17"/>
  <c r="MM31" i="17"/>
  <c r="NM25" i="17"/>
  <c r="MT25" i="17"/>
  <c r="MW25" i="17" s="1"/>
  <c r="O29" i="17"/>
  <c r="MO29" i="17"/>
  <c r="HE25" i="17"/>
  <c r="HN25" i="17"/>
  <c r="K32" i="17"/>
  <c r="MK32" i="17"/>
  <c r="L32" i="17" s="1"/>
  <c r="JN31" i="17" l="1"/>
  <c r="HF27" i="17"/>
  <c r="HK27" i="17"/>
  <c r="HE27" i="17"/>
  <c r="HE26" i="17"/>
  <c r="HF25" i="17"/>
  <c r="NR31" i="17"/>
  <c r="LM29" i="17"/>
  <c r="LO27" i="17"/>
  <c r="LO24" i="17"/>
  <c r="JM24" i="17"/>
  <c r="JM26" i="17"/>
  <c r="GW29" i="17"/>
  <c r="GY29" i="17" s="1"/>
  <c r="HA29" i="17" s="1"/>
  <c r="HD29" i="17" s="1"/>
  <c r="HK25" i="17"/>
  <c r="AB26" i="17"/>
  <c r="IT31" i="17"/>
  <c r="IU31" i="17" s="1"/>
  <c r="IV31" i="17" s="1"/>
  <c r="IX31" i="17" s="1"/>
  <c r="KV31" i="17"/>
  <c r="KW31" i="17" s="1"/>
  <c r="KX31" i="17" s="1"/>
  <c r="KZ31" i="17" s="1"/>
  <c r="LA31" i="17" s="1"/>
  <c r="LP31" i="17"/>
  <c r="NT31" i="17"/>
  <c r="NQ31" i="17"/>
  <c r="LJ27" i="17"/>
  <c r="HB28" i="17"/>
  <c r="HE28" i="17" s="1"/>
  <c r="LE25" i="17"/>
  <c r="LH25" i="17" s="1"/>
  <c r="LE28" i="17"/>
  <c r="LG28" i="17" s="1"/>
  <c r="LK28" i="17" s="1"/>
  <c r="LE26" i="17"/>
  <c r="LH26" i="17" s="1"/>
  <c r="HC28" i="17"/>
  <c r="HG28" i="17" s="1"/>
  <c r="GR31" i="17"/>
  <c r="H32" i="17"/>
  <c r="Y32" i="17" s="1"/>
  <c r="T32" i="17" s="1"/>
  <c r="IR32" i="17"/>
  <c r="LN28" i="17"/>
  <c r="LC29" i="17"/>
  <c r="KW30" i="17"/>
  <c r="KX30" i="17" s="1"/>
  <c r="KZ30" i="17" s="1"/>
  <c r="LA30" i="17" s="1"/>
  <c r="GS30" i="17"/>
  <c r="GT30" i="17" s="1"/>
  <c r="GV30" i="17" s="1"/>
  <c r="IY30" i="17"/>
  <c r="IY29" i="17"/>
  <c r="JH26" i="17"/>
  <c r="JP26" i="17"/>
  <c r="JA28" i="17"/>
  <c r="JC28" i="17" s="1"/>
  <c r="JK30" i="17"/>
  <c r="JF27" i="17"/>
  <c r="JE27" i="17"/>
  <c r="JI27" i="17" s="1"/>
  <c r="JC25" i="17"/>
  <c r="JD25" i="17" s="1"/>
  <c r="JP27" i="17"/>
  <c r="JG24" i="17"/>
  <c r="JH24" i="17"/>
  <c r="JL28" i="17"/>
  <c r="JK29" i="17"/>
  <c r="MU32" i="17"/>
  <c r="GP32" i="17"/>
  <c r="HL32" i="17" s="1"/>
  <c r="F33" i="17"/>
  <c r="I33" i="17"/>
  <c r="KT32" i="17"/>
  <c r="LP32" i="17" s="1"/>
  <c r="AG31" i="17"/>
  <c r="AB24" i="17"/>
  <c r="MO30" i="17"/>
  <c r="MS30" i="17" s="1"/>
  <c r="V30" i="17" s="1"/>
  <c r="MM32" i="17"/>
  <c r="N32" i="17" s="1"/>
  <c r="ND24" i="17"/>
  <c r="NO24" i="17"/>
  <c r="AA26" i="17"/>
  <c r="MQ32" i="17"/>
  <c r="P29" i="17"/>
  <c r="MS29" i="17"/>
  <c r="V29" i="17" s="1"/>
  <c r="MN31" i="17"/>
  <c r="N31" i="17"/>
  <c r="MX27" i="17"/>
  <c r="MY27" i="17" s="1"/>
  <c r="NA27" i="17" s="1"/>
  <c r="NB27" i="17" s="1"/>
  <c r="Z34" i="17"/>
  <c r="J34" i="17"/>
  <c r="MJ34" i="17"/>
  <c r="K33" i="17"/>
  <c r="MK33" i="17"/>
  <c r="L33" i="17" s="1"/>
  <c r="NN26" i="17"/>
  <c r="MX28" i="17"/>
  <c r="MY28" i="17" s="1"/>
  <c r="NA28" i="17" s="1"/>
  <c r="NB28" i="17" s="1"/>
  <c r="MX25" i="17"/>
  <c r="MY25" i="17" s="1"/>
  <c r="NA25" i="17" s="1"/>
  <c r="NB25" i="17" s="1"/>
  <c r="NU33" i="17"/>
  <c r="NV31" i="17"/>
  <c r="X26" i="17" l="1"/>
  <c r="X24" i="17"/>
  <c r="U24" i="17" s="1"/>
  <c r="JN32" i="17"/>
  <c r="GS31" i="17"/>
  <c r="GT31" i="17" s="1"/>
  <c r="GV31" i="17" s="1"/>
  <c r="NR32" i="17"/>
  <c r="LM30" i="17"/>
  <c r="LO28" i="17"/>
  <c r="LN31" i="17"/>
  <c r="JM27" i="17"/>
  <c r="HI30" i="17"/>
  <c r="AB27" i="17"/>
  <c r="AB28" i="17"/>
  <c r="NT32" i="17"/>
  <c r="NQ32" i="17"/>
  <c r="HF28" i="17"/>
  <c r="HC29" i="17"/>
  <c r="HG29" i="17" s="1"/>
  <c r="LG25" i="17"/>
  <c r="LK25" i="17" s="1"/>
  <c r="HN28" i="17"/>
  <c r="HB29" i="17"/>
  <c r="HE29" i="17" s="1"/>
  <c r="LF28" i="17"/>
  <c r="LI28" i="17" s="1"/>
  <c r="LH28" i="17"/>
  <c r="NF24" i="17"/>
  <c r="AD24" i="17" s="1"/>
  <c r="Q24" i="17" s="1"/>
  <c r="LE29" i="17"/>
  <c r="LG29" i="17" s="1"/>
  <c r="LK29" i="17" s="1"/>
  <c r="LF26" i="17"/>
  <c r="LI26" i="17" s="1"/>
  <c r="LG26" i="17"/>
  <c r="LK26" i="17" s="1"/>
  <c r="LF25" i="17"/>
  <c r="LR25" i="17" s="1"/>
  <c r="GR32" i="17"/>
  <c r="IT32" i="17"/>
  <c r="IU32" i="17" s="1"/>
  <c r="IV32" i="17" s="1"/>
  <c r="IX32" i="17" s="1"/>
  <c r="H33" i="17"/>
  <c r="Y33" i="17" s="1"/>
  <c r="T33" i="17" s="1"/>
  <c r="IR33" i="17"/>
  <c r="LJ28" i="17"/>
  <c r="LN29" i="17"/>
  <c r="LM31" i="17"/>
  <c r="GW30" i="17"/>
  <c r="GY30" i="17" s="1"/>
  <c r="LN30" i="17"/>
  <c r="IY31" i="17"/>
  <c r="JF28" i="17"/>
  <c r="JE28" i="17"/>
  <c r="JI28" i="17" s="1"/>
  <c r="JD28" i="17"/>
  <c r="JG28" i="17" s="1"/>
  <c r="JL29" i="17"/>
  <c r="JA29" i="17"/>
  <c r="JC29" i="17" s="1"/>
  <c r="JF29" i="17" s="1"/>
  <c r="JA30" i="17"/>
  <c r="JC30" i="17" s="1"/>
  <c r="JH27" i="17"/>
  <c r="JE25" i="17"/>
  <c r="JI25" i="17" s="1"/>
  <c r="JP25" i="17"/>
  <c r="JG25" i="17"/>
  <c r="JF25" i="17"/>
  <c r="JL30" i="17"/>
  <c r="JK31" i="17"/>
  <c r="KV32" i="17"/>
  <c r="KT33" i="17"/>
  <c r="MU33" i="17"/>
  <c r="F34" i="17"/>
  <c r="I34" i="17"/>
  <c r="GP33" i="17"/>
  <c r="HL33" i="17" s="1"/>
  <c r="AA28" i="17"/>
  <c r="AG32" i="17"/>
  <c r="AA25" i="17"/>
  <c r="P30" i="17"/>
  <c r="MN32" i="17"/>
  <c r="O32" i="17" s="1"/>
  <c r="NO26" i="17"/>
  <c r="NV32" i="17"/>
  <c r="AA27" i="17"/>
  <c r="ND26" i="17"/>
  <c r="NU34" i="17"/>
  <c r="NN25" i="17"/>
  <c r="MQ33" i="17"/>
  <c r="K34" i="17"/>
  <c r="MK34" i="17"/>
  <c r="L34" i="17" s="1"/>
  <c r="NN28" i="17"/>
  <c r="NN27" i="17"/>
  <c r="O31" i="17"/>
  <c r="MO31" i="17"/>
  <c r="Z35" i="17"/>
  <c r="J35" i="17"/>
  <c r="MJ35" i="17"/>
  <c r="NM30" i="17"/>
  <c r="MT30" i="17"/>
  <c r="MW30" i="17" s="1"/>
  <c r="MM33" i="17"/>
  <c r="NM29" i="17"/>
  <c r="MT29" i="17"/>
  <c r="MW29" i="17" s="1"/>
  <c r="X27" i="17" l="1"/>
  <c r="X28" i="17"/>
  <c r="S28" i="17" s="1"/>
  <c r="S24" i="17"/>
  <c r="JN33" i="17"/>
  <c r="GW31" i="17"/>
  <c r="GY31" i="17" s="1"/>
  <c r="HA31" i="17" s="1"/>
  <c r="HC31" i="17" s="1"/>
  <c r="HG31" i="17" s="1"/>
  <c r="HI31" i="17"/>
  <c r="GS32" i="17"/>
  <c r="GT32" i="17" s="1"/>
  <c r="GV32" i="17" s="1"/>
  <c r="LC31" i="17"/>
  <c r="LE31" i="17" s="1"/>
  <c r="LH31" i="17" s="1"/>
  <c r="NR33" i="17"/>
  <c r="LO26" i="17"/>
  <c r="JM28" i="17"/>
  <c r="HK28" i="17"/>
  <c r="HF29" i="17"/>
  <c r="KV33" i="17"/>
  <c r="KW33" i="17" s="1"/>
  <c r="KX33" i="17" s="1"/>
  <c r="KZ33" i="17" s="1"/>
  <c r="LA33" i="17" s="1"/>
  <c r="LP33" i="17"/>
  <c r="NQ33" i="17"/>
  <c r="NT33" i="17"/>
  <c r="IT33" i="17"/>
  <c r="IU33" i="17" s="1"/>
  <c r="IV33" i="17" s="1"/>
  <c r="IX33" i="17" s="1"/>
  <c r="LJ25" i="17"/>
  <c r="NH24" i="17"/>
  <c r="NG24" i="17"/>
  <c r="AE24" i="17" s="1"/>
  <c r="NI24" i="17"/>
  <c r="HN29" i="17"/>
  <c r="LJ26" i="17"/>
  <c r="LR28" i="17"/>
  <c r="LH29" i="17"/>
  <c r="LR26" i="17"/>
  <c r="LI25" i="17"/>
  <c r="NF26" i="17"/>
  <c r="AD26" i="17" s="1"/>
  <c r="Q26" i="17" s="1"/>
  <c r="LO29" i="17"/>
  <c r="LJ29" i="17"/>
  <c r="LF29" i="17"/>
  <c r="HA30" i="17"/>
  <c r="HC30" i="17" s="1"/>
  <c r="HG30" i="17" s="1"/>
  <c r="H34" i="17"/>
  <c r="Y34" i="17" s="1"/>
  <c r="T34" i="17" s="1"/>
  <c r="IR34" i="17"/>
  <c r="LC30" i="17"/>
  <c r="HJ30" i="17"/>
  <c r="KW32" i="17"/>
  <c r="KX32" i="17" s="1"/>
  <c r="KZ32" i="17" s="1"/>
  <c r="LA32" i="17" s="1"/>
  <c r="IY32" i="17"/>
  <c r="JP28" i="17"/>
  <c r="JH28" i="17"/>
  <c r="JF30" i="17"/>
  <c r="JE30" i="17"/>
  <c r="JI30" i="17" s="1"/>
  <c r="JD30" i="17"/>
  <c r="JP30" i="17" s="1"/>
  <c r="JL31" i="17"/>
  <c r="JA31" i="17"/>
  <c r="JC31" i="17" s="1"/>
  <c r="JH25" i="17"/>
  <c r="JD29" i="17"/>
  <c r="JE29" i="17"/>
  <c r="JI29" i="17" s="1"/>
  <c r="JK32" i="17"/>
  <c r="KT34" i="17"/>
  <c r="GP34" i="17"/>
  <c r="GR34" i="17" s="1"/>
  <c r="GR33" i="17"/>
  <c r="U26" i="17"/>
  <c r="S26" i="17"/>
  <c r="F35" i="17"/>
  <c r="I35" i="17"/>
  <c r="MU34" i="17"/>
  <c r="AG33" i="17"/>
  <c r="AB25" i="17"/>
  <c r="MO32" i="17"/>
  <c r="MS32" i="17" s="1"/>
  <c r="V32" i="17" s="1"/>
  <c r="ND27" i="17"/>
  <c r="NO27" i="17"/>
  <c r="ND28" i="17"/>
  <c r="NO28" i="17"/>
  <c r="NO25" i="17"/>
  <c r="ND25" i="17"/>
  <c r="MX29" i="17"/>
  <c r="MY29" i="17" s="1"/>
  <c r="NA29" i="17" s="1"/>
  <c r="NB29" i="17" s="1"/>
  <c r="N33" i="17"/>
  <c r="MN33" i="17"/>
  <c r="MX30" i="17"/>
  <c r="MY30" i="17" s="1"/>
  <c r="NA30" i="17" s="1"/>
  <c r="NB30" i="17" s="1"/>
  <c r="P31" i="17"/>
  <c r="MS31" i="17"/>
  <c r="V31" i="17" s="1"/>
  <c r="MM34" i="17"/>
  <c r="NV33" i="17"/>
  <c r="Z36" i="17"/>
  <c r="MJ36" i="17"/>
  <c r="J36" i="17"/>
  <c r="NU35" i="17"/>
  <c r="K35" i="17"/>
  <c r="MK35" i="17"/>
  <c r="L35" i="17" s="1"/>
  <c r="MQ34" i="17"/>
  <c r="U28" i="17" l="1"/>
  <c r="X25" i="17"/>
  <c r="U25" i="17" s="1"/>
  <c r="NL24" i="17"/>
  <c r="NP24" i="17" s="1"/>
  <c r="HJ31" i="17"/>
  <c r="HJ32" i="17"/>
  <c r="HI32" i="17"/>
  <c r="NR34" i="17"/>
  <c r="LM32" i="17"/>
  <c r="LO25" i="17"/>
  <c r="LM33" i="17"/>
  <c r="JM30" i="17"/>
  <c r="JM25" i="17"/>
  <c r="HK29" i="17"/>
  <c r="AB30" i="17"/>
  <c r="NT34" i="17"/>
  <c r="NQ34" i="17"/>
  <c r="KV34" i="17"/>
  <c r="KW34" i="17" s="1"/>
  <c r="KX34" i="17" s="1"/>
  <c r="KZ34" i="17" s="1"/>
  <c r="LA34" i="17" s="1"/>
  <c r="LP34" i="17"/>
  <c r="IT34" i="17"/>
  <c r="IU34" i="17" s="1"/>
  <c r="IV34" i="17" s="1"/>
  <c r="IX34" i="17" s="1"/>
  <c r="JN34" i="17"/>
  <c r="NS24" i="17"/>
  <c r="NJ24" i="17"/>
  <c r="LF31" i="17"/>
  <c r="LR31" i="17" s="1"/>
  <c r="AF24" i="17"/>
  <c r="NK24" i="17"/>
  <c r="LG31" i="17"/>
  <c r="LK31" i="17" s="1"/>
  <c r="NG26" i="17"/>
  <c r="AE26" i="17" s="1"/>
  <c r="NH26" i="17"/>
  <c r="NL26" i="17" s="1"/>
  <c r="NI26" i="17"/>
  <c r="HD31" i="17"/>
  <c r="HB31" i="17"/>
  <c r="HN31" i="17" s="1"/>
  <c r="NF28" i="17"/>
  <c r="AD28" i="17" s="1"/>
  <c r="Q28" i="17" s="1"/>
  <c r="NF25" i="17"/>
  <c r="NH25" i="17" s="1"/>
  <c r="NL25" i="17" s="1"/>
  <c r="NF27" i="17"/>
  <c r="AD27" i="17" s="1"/>
  <c r="Q27" i="17" s="1"/>
  <c r="LE30" i="17"/>
  <c r="LF30" i="17" s="1"/>
  <c r="LI29" i="17"/>
  <c r="LR29" i="17"/>
  <c r="HK30" i="17"/>
  <c r="HF30" i="17"/>
  <c r="HK31" i="17"/>
  <c r="HF31" i="17"/>
  <c r="HB30" i="17"/>
  <c r="HN30" i="17" s="1"/>
  <c r="HD30" i="17"/>
  <c r="H35" i="17"/>
  <c r="Y35" i="17" s="1"/>
  <c r="T35" i="17" s="1"/>
  <c r="IR35" i="17"/>
  <c r="LN33" i="17"/>
  <c r="GW32" i="17"/>
  <c r="GY32" i="17" s="1"/>
  <c r="LC32" i="17"/>
  <c r="GS34" i="17"/>
  <c r="GT34" i="17" s="1"/>
  <c r="GV34" i="17" s="1"/>
  <c r="GS33" i="17"/>
  <c r="GT33" i="17" s="1"/>
  <c r="GV33" i="17" s="1"/>
  <c r="IY33" i="17"/>
  <c r="JE31" i="17"/>
  <c r="JI31" i="17" s="1"/>
  <c r="JD31" i="17"/>
  <c r="JP31" i="17" s="1"/>
  <c r="JF31" i="17"/>
  <c r="JH30" i="17"/>
  <c r="JL32" i="17"/>
  <c r="JA32" i="17"/>
  <c r="JC32" i="17" s="1"/>
  <c r="JE32" i="17" s="1"/>
  <c r="JI32" i="17" s="1"/>
  <c r="JG30" i="17"/>
  <c r="JH29" i="17"/>
  <c r="JP29" i="17"/>
  <c r="JG29" i="17"/>
  <c r="JK33" i="17"/>
  <c r="HL34" i="17"/>
  <c r="GP35" i="17"/>
  <c r="GR35" i="17" s="1"/>
  <c r="KT35" i="17"/>
  <c r="U27" i="17"/>
  <c r="S27" i="17"/>
  <c r="F36" i="17"/>
  <c r="I36" i="17"/>
  <c r="MU35" i="17"/>
  <c r="AG34" i="17"/>
  <c r="AA30" i="17"/>
  <c r="P32" i="17"/>
  <c r="MM35" i="17"/>
  <c r="MN35" i="17" s="1"/>
  <c r="AA29" i="17"/>
  <c r="O33" i="17"/>
  <c r="MO33" i="17"/>
  <c r="NV34" i="17"/>
  <c r="Z37" i="17"/>
  <c r="MJ37" i="17"/>
  <c r="J37" i="17"/>
  <c r="NU36" i="17"/>
  <c r="MN34" i="17"/>
  <c r="N34" i="17"/>
  <c r="NN30" i="17"/>
  <c r="NM32" i="17"/>
  <c r="MT32" i="17"/>
  <c r="MW32" i="17" s="1"/>
  <c r="MQ35" i="17"/>
  <c r="K36" i="17"/>
  <c r="MK36" i="17"/>
  <c r="L36" i="17" s="1"/>
  <c r="NM31" i="17"/>
  <c r="MT31" i="17"/>
  <c r="MW31" i="17" s="1"/>
  <c r="NN29" i="17"/>
  <c r="S25" i="17" l="1"/>
  <c r="X30" i="17"/>
  <c r="S30" i="17" s="1"/>
  <c r="R24" i="17"/>
  <c r="AH24" i="17"/>
  <c r="AR24" i="17" s="1"/>
  <c r="NR35" i="17"/>
  <c r="LC34" i="17"/>
  <c r="LO31" i="17"/>
  <c r="JM32" i="17"/>
  <c r="JM29" i="17"/>
  <c r="HI33" i="17"/>
  <c r="GW34" i="17"/>
  <c r="GY34" i="17" s="1"/>
  <c r="NP26" i="17"/>
  <c r="NP25" i="17"/>
  <c r="IT35" i="17"/>
  <c r="IU35" i="17" s="1"/>
  <c r="IV35" i="17" s="1"/>
  <c r="IX35" i="17" s="1"/>
  <c r="JN35" i="17"/>
  <c r="NT35" i="17"/>
  <c r="NQ35" i="17"/>
  <c r="KV35" i="17"/>
  <c r="KW35" i="17" s="1"/>
  <c r="KX35" i="17" s="1"/>
  <c r="KZ35" i="17" s="1"/>
  <c r="LA35" i="17" s="1"/>
  <c r="LP35" i="17"/>
  <c r="LJ31" i="17"/>
  <c r="LI31" i="17"/>
  <c r="AF26" i="17"/>
  <c r="R26" i="17" s="1"/>
  <c r="W24" i="17"/>
  <c r="NK26" i="17"/>
  <c r="NJ26" i="17"/>
  <c r="NS26" i="17"/>
  <c r="NG27" i="17"/>
  <c r="AE27" i="17" s="1"/>
  <c r="HE31" i="17"/>
  <c r="NH28" i="17"/>
  <c r="NL28" i="17" s="1"/>
  <c r="NI28" i="17"/>
  <c r="LC33" i="17"/>
  <c r="LE33" i="17" s="1"/>
  <c r="LH33" i="17" s="1"/>
  <c r="NG28" i="17"/>
  <c r="AE28" i="17" s="1"/>
  <c r="NH27" i="17"/>
  <c r="NL27" i="17" s="1"/>
  <c r="NI27" i="17"/>
  <c r="HE30" i="17"/>
  <c r="NG25" i="17"/>
  <c r="AE25" i="17" s="1"/>
  <c r="AD25" i="17"/>
  <c r="Q25" i="17" s="1"/>
  <c r="NI25" i="17"/>
  <c r="LI30" i="17"/>
  <c r="LR30" i="17"/>
  <c r="LG30" i="17"/>
  <c r="LK30" i="17" s="1"/>
  <c r="LE32" i="17"/>
  <c r="LH32" i="17" s="1"/>
  <c r="LH30" i="17"/>
  <c r="HA32" i="17"/>
  <c r="HC32" i="17" s="1"/>
  <c r="HG32" i="17" s="1"/>
  <c r="H36" i="17"/>
  <c r="Y36" i="17" s="1"/>
  <c r="T36" i="17" s="1"/>
  <c r="IR36" i="17"/>
  <c r="LM34" i="17"/>
  <c r="LN32" i="17"/>
  <c r="HI34" i="17"/>
  <c r="GW33" i="17"/>
  <c r="GY33" i="17" s="1"/>
  <c r="GS35" i="17"/>
  <c r="GT35" i="17" s="1"/>
  <c r="GV35" i="17" s="1"/>
  <c r="IY34" i="17"/>
  <c r="JH31" i="17"/>
  <c r="JG31" i="17"/>
  <c r="JL33" i="17"/>
  <c r="JA33" i="17"/>
  <c r="JC33" i="17" s="1"/>
  <c r="JD32" i="17"/>
  <c r="JG32" i="17" s="1"/>
  <c r="JH32" i="17"/>
  <c r="JF32" i="17"/>
  <c r="JK34" i="17"/>
  <c r="HL35" i="17"/>
  <c r="GP36" i="17"/>
  <c r="GR36" i="17" s="1"/>
  <c r="KT36" i="17"/>
  <c r="MU36" i="17"/>
  <c r="F37" i="17"/>
  <c r="I37" i="17"/>
  <c r="AF25" i="17"/>
  <c r="AG35" i="17"/>
  <c r="AB29" i="17"/>
  <c r="X29" i="17" s="1"/>
  <c r="NK25" i="17"/>
  <c r="N35" i="17"/>
  <c r="NO29" i="17"/>
  <c r="ND29" i="17"/>
  <c r="MO35" i="17"/>
  <c r="O35" i="17"/>
  <c r="O34" i="17"/>
  <c r="MO34" i="17"/>
  <c r="MX31" i="17"/>
  <c r="MY31" i="17" s="1"/>
  <c r="NA31" i="17" s="1"/>
  <c r="NB31" i="17" s="1"/>
  <c r="MQ36" i="17"/>
  <c r="MX32" i="17"/>
  <c r="MY32" i="17" s="1"/>
  <c r="NA32" i="17" s="1"/>
  <c r="NB32" i="17" s="1"/>
  <c r="Z38" i="17"/>
  <c r="MJ38" i="17"/>
  <c r="J38" i="17"/>
  <c r="NU37" i="17"/>
  <c r="NO30" i="17"/>
  <c r="ND30" i="17"/>
  <c r="MM36" i="17"/>
  <c r="NV35" i="17"/>
  <c r="K37" i="17"/>
  <c r="MK37" i="17"/>
  <c r="L37" i="17" s="1"/>
  <c r="P33" i="17"/>
  <c r="MS33" i="17"/>
  <c r="V33" i="17" s="1"/>
  <c r="U30" i="17" l="1"/>
  <c r="HJ34" i="17"/>
  <c r="LN34" i="17"/>
  <c r="NR36" i="17"/>
  <c r="LC35" i="17"/>
  <c r="JM31" i="17"/>
  <c r="HI35" i="17"/>
  <c r="NP27" i="17"/>
  <c r="NP28" i="17"/>
  <c r="AB32" i="17"/>
  <c r="NQ36" i="17"/>
  <c r="NT36" i="17"/>
  <c r="IT36" i="17"/>
  <c r="IU36" i="17" s="1"/>
  <c r="IV36" i="17" s="1"/>
  <c r="IX36" i="17" s="1"/>
  <c r="JN36" i="17"/>
  <c r="KV36" i="17"/>
  <c r="KW36" i="17" s="1"/>
  <c r="KX36" i="17" s="1"/>
  <c r="KZ36" i="17" s="1"/>
  <c r="LA36" i="17" s="1"/>
  <c r="LP36" i="17"/>
  <c r="W26" i="17"/>
  <c r="AH26" i="17"/>
  <c r="AR26" i="17" s="1"/>
  <c r="NK28" i="17"/>
  <c r="AF28" i="17"/>
  <c r="W28" i="17" s="1"/>
  <c r="NK27" i="17"/>
  <c r="NJ27" i="17"/>
  <c r="NS27" i="17"/>
  <c r="NJ28" i="17"/>
  <c r="NS28" i="17"/>
  <c r="AF27" i="17"/>
  <c r="W27" i="17" s="1"/>
  <c r="HB32" i="17"/>
  <c r="HN32" i="17" s="1"/>
  <c r="LF33" i="17"/>
  <c r="LR33" i="17" s="1"/>
  <c r="LG33" i="17"/>
  <c r="LK33" i="17" s="1"/>
  <c r="NJ25" i="17"/>
  <c r="NS25" i="17"/>
  <c r="LG32" i="17"/>
  <c r="LK32" i="17" s="1"/>
  <c r="LF32" i="17"/>
  <c r="NF30" i="17"/>
  <c r="AD30" i="17" s="1"/>
  <c r="Q30" i="17" s="1"/>
  <c r="NF29" i="17"/>
  <c r="NH29" i="17" s="1"/>
  <c r="NL29" i="17" s="1"/>
  <c r="LE34" i="17"/>
  <c r="LG34" i="17" s="1"/>
  <c r="LK34" i="17" s="1"/>
  <c r="LO30" i="17"/>
  <c r="LJ30" i="17"/>
  <c r="HK32" i="17"/>
  <c r="HF32" i="17"/>
  <c r="HD32" i="17"/>
  <c r="HA33" i="17"/>
  <c r="HC33" i="17" s="1"/>
  <c r="HG33" i="17" s="1"/>
  <c r="HA34" i="17"/>
  <c r="HB34" i="17" s="1"/>
  <c r="HN34" i="17" s="1"/>
  <c r="H37" i="17"/>
  <c r="Y37" i="17" s="1"/>
  <c r="T37" i="17" s="1"/>
  <c r="IR37" i="17"/>
  <c r="LM35" i="17"/>
  <c r="HJ35" i="17"/>
  <c r="HJ33" i="17"/>
  <c r="GS36" i="17"/>
  <c r="GT36" i="17" s="1"/>
  <c r="GV36" i="17" s="1"/>
  <c r="JE33" i="17"/>
  <c r="JI33" i="17" s="1"/>
  <c r="JF33" i="17"/>
  <c r="JD33" i="17"/>
  <c r="JP33" i="17" s="1"/>
  <c r="JA34" i="17"/>
  <c r="JC34" i="17" s="1"/>
  <c r="JL34" i="17"/>
  <c r="JP32" i="17"/>
  <c r="JK35" i="17"/>
  <c r="HL36" i="17"/>
  <c r="KT37" i="17"/>
  <c r="GP37" i="17"/>
  <c r="HL37" i="17" s="1"/>
  <c r="MU37" i="17"/>
  <c r="F38" i="17"/>
  <c r="I38" i="17"/>
  <c r="W25" i="17"/>
  <c r="R25" i="17"/>
  <c r="U29" i="17"/>
  <c r="S29" i="17"/>
  <c r="AH25" i="17"/>
  <c r="AR25" i="17" s="1"/>
  <c r="AG36" i="17"/>
  <c r="AA32" i="17"/>
  <c r="AA31" i="17"/>
  <c r="Z39" i="17"/>
  <c r="MJ39" i="17"/>
  <c r="J39" i="17"/>
  <c r="NU38" i="17"/>
  <c r="NV36" i="17"/>
  <c r="NM33" i="17"/>
  <c r="MT33" i="17"/>
  <c r="MW33" i="17" s="1"/>
  <c r="MN36" i="17"/>
  <c r="N36" i="17"/>
  <c r="P34" i="17"/>
  <c r="MS34" i="17"/>
  <c r="V34" i="17" s="1"/>
  <c r="MS35" i="17"/>
  <c r="V35" i="17" s="1"/>
  <c r="P35" i="17"/>
  <c r="MQ37" i="17"/>
  <c r="K38" i="17"/>
  <c r="MK38" i="17"/>
  <c r="L38" i="17" s="1"/>
  <c r="NN32" i="17"/>
  <c r="NN31" i="17"/>
  <c r="MM37" i="17"/>
  <c r="X32" i="17" l="1"/>
  <c r="U32" i="17" s="1"/>
  <c r="JN37" i="17"/>
  <c r="LN35" i="17"/>
  <c r="NR37" i="17"/>
  <c r="LO33" i="17"/>
  <c r="LC36" i="17"/>
  <c r="LE36" i="17" s="1"/>
  <c r="HJ36" i="17"/>
  <c r="HK33" i="17"/>
  <c r="NP29" i="17"/>
  <c r="KV37" i="17"/>
  <c r="KW37" i="17" s="1"/>
  <c r="KX37" i="17" s="1"/>
  <c r="KZ37" i="17" s="1"/>
  <c r="LA37" i="17" s="1"/>
  <c r="LP37" i="17"/>
  <c r="NQ37" i="17"/>
  <c r="NT37" i="17"/>
  <c r="R28" i="17"/>
  <c r="AH28" i="17"/>
  <c r="AR28" i="17" s="1"/>
  <c r="LI33" i="17"/>
  <c r="R27" i="17"/>
  <c r="NI30" i="17"/>
  <c r="AH27" i="17"/>
  <c r="AR27" i="17" s="1"/>
  <c r="NG30" i="17"/>
  <c r="AE30" i="17" s="1"/>
  <c r="HE32" i="17"/>
  <c r="HB33" i="17"/>
  <c r="HE33" i="17" s="1"/>
  <c r="LF34" i="17"/>
  <c r="LR34" i="17" s="1"/>
  <c r="LJ33" i="17"/>
  <c r="HD33" i="17"/>
  <c r="LH34" i="17"/>
  <c r="LJ32" i="17"/>
  <c r="NH30" i="17"/>
  <c r="NL30" i="17" s="1"/>
  <c r="NG29" i="17"/>
  <c r="AE29" i="17" s="1"/>
  <c r="LR32" i="17"/>
  <c r="LI32" i="17"/>
  <c r="AD29" i="17"/>
  <c r="Q29" i="17" s="1"/>
  <c r="NI29" i="17"/>
  <c r="LO34" i="17"/>
  <c r="LJ34" i="17"/>
  <c r="LE35" i="17"/>
  <c r="LG35" i="17" s="1"/>
  <c r="LK35" i="17" s="1"/>
  <c r="HF33" i="17"/>
  <c r="HC34" i="17"/>
  <c r="HG34" i="17" s="1"/>
  <c r="HD34" i="17"/>
  <c r="H38" i="17"/>
  <c r="Y38" i="17" s="1"/>
  <c r="T38" i="17" s="1"/>
  <c r="IR38" i="17"/>
  <c r="IT37" i="17"/>
  <c r="IU37" i="17" s="1"/>
  <c r="IV37" i="17" s="1"/>
  <c r="IX37" i="17" s="1"/>
  <c r="GW35" i="17"/>
  <c r="GY35" i="17" s="1"/>
  <c r="LM36" i="17"/>
  <c r="HI36" i="17"/>
  <c r="IY36" i="17"/>
  <c r="JH33" i="17"/>
  <c r="IY35" i="17"/>
  <c r="JA35" i="17" s="1"/>
  <c r="JC35" i="17" s="1"/>
  <c r="JF35" i="17" s="1"/>
  <c r="JG33" i="17"/>
  <c r="JE34" i="17"/>
  <c r="JI34" i="17" s="1"/>
  <c r="JF34" i="17"/>
  <c r="JD34" i="17"/>
  <c r="JP34" i="17" s="1"/>
  <c r="JL35" i="17"/>
  <c r="JK36" i="17"/>
  <c r="KT38" i="17"/>
  <c r="GR37" i="17"/>
  <c r="MU38" i="17"/>
  <c r="GP38" i="17"/>
  <c r="HL38" i="17" s="1"/>
  <c r="F39" i="17"/>
  <c r="I39" i="17"/>
  <c r="AF29" i="17"/>
  <c r="AG37" i="17"/>
  <c r="AB31" i="17"/>
  <c r="X31" i="17" s="1"/>
  <c r="NK29" i="17"/>
  <c r="HE34" i="17"/>
  <c r="ND31" i="17"/>
  <c r="NO31" i="17"/>
  <c r="MM38" i="17"/>
  <c r="MN38" i="17" s="1"/>
  <c r="MQ38" i="17"/>
  <c r="NV37" i="17"/>
  <c r="NM34" i="17"/>
  <c r="MT34" i="17"/>
  <c r="MW34" i="17" s="1"/>
  <c r="Z40" i="17"/>
  <c r="MJ40" i="17"/>
  <c r="J40" i="17"/>
  <c r="NU39" i="17"/>
  <c r="N37" i="17"/>
  <c r="MN37" i="17"/>
  <c r="MX33" i="17"/>
  <c r="MY33" i="17" s="1"/>
  <c r="NA33" i="17" s="1"/>
  <c r="NB33" i="17" s="1"/>
  <c r="O36" i="17"/>
  <c r="MO36" i="17"/>
  <c r="K39" i="17"/>
  <c r="MK39" i="17"/>
  <c r="L39" i="17" s="1"/>
  <c r="NO32" i="17"/>
  <c r="ND32" i="17"/>
  <c r="NM35" i="17"/>
  <c r="MT35" i="17"/>
  <c r="MW35" i="17" s="1"/>
  <c r="S32" i="17" l="1"/>
  <c r="JN38" i="17"/>
  <c r="LN36" i="17"/>
  <c r="GW36" i="17"/>
  <c r="GY36" i="17" s="1"/>
  <c r="HA36" i="17" s="1"/>
  <c r="HC36" i="17" s="1"/>
  <c r="HG36" i="17" s="1"/>
  <c r="NR38" i="17"/>
  <c r="LM37" i="17"/>
  <c r="LO32" i="17"/>
  <c r="JM33" i="17"/>
  <c r="HF34" i="17"/>
  <c r="NP30" i="17"/>
  <c r="NS29" i="17"/>
  <c r="KV38" i="17"/>
  <c r="KW38" i="17" s="1"/>
  <c r="KX38" i="17" s="1"/>
  <c r="KZ38" i="17" s="1"/>
  <c r="LA38" i="17" s="1"/>
  <c r="LP38" i="17"/>
  <c r="NK30" i="17"/>
  <c r="NT38" i="17"/>
  <c r="NQ38" i="17"/>
  <c r="NJ29" i="17"/>
  <c r="NS30" i="17"/>
  <c r="NJ30" i="17"/>
  <c r="AF30" i="17"/>
  <c r="W30" i="17" s="1"/>
  <c r="LI34" i="17"/>
  <c r="HN33" i="17"/>
  <c r="LH35" i="17"/>
  <c r="LF35" i="17"/>
  <c r="LR35" i="17" s="1"/>
  <c r="NF32" i="17"/>
  <c r="AD32" i="17" s="1"/>
  <c r="Q32" i="17" s="1"/>
  <c r="NF31" i="17"/>
  <c r="NG31" i="17" s="1"/>
  <c r="AE31" i="17" s="1"/>
  <c r="LO35" i="17"/>
  <c r="LJ35" i="17"/>
  <c r="HA35" i="17"/>
  <c r="HD35" i="17" s="1"/>
  <c r="IT38" i="17"/>
  <c r="IU38" i="17" s="1"/>
  <c r="IV38" i="17" s="1"/>
  <c r="IX38" i="17" s="1"/>
  <c r="H39" i="17"/>
  <c r="Y39" i="17" s="1"/>
  <c r="T39" i="17" s="1"/>
  <c r="IR39" i="17"/>
  <c r="LC37" i="17"/>
  <c r="GS37" i="17"/>
  <c r="GT37" i="17" s="1"/>
  <c r="GV37" i="17" s="1"/>
  <c r="IY37" i="17"/>
  <c r="JH34" i="17"/>
  <c r="JG34" i="17"/>
  <c r="JA36" i="17"/>
  <c r="JC36" i="17" s="1"/>
  <c r="JK37" i="17"/>
  <c r="JE35" i="17"/>
  <c r="JI35" i="17" s="1"/>
  <c r="JD35" i="17"/>
  <c r="JG35" i="17" s="1"/>
  <c r="JL36" i="17"/>
  <c r="GP39" i="17"/>
  <c r="GR39" i="17" s="1"/>
  <c r="KT39" i="17"/>
  <c r="GR38" i="17"/>
  <c r="MU39" i="17"/>
  <c r="F40" i="17"/>
  <c r="I40" i="17"/>
  <c r="U31" i="17"/>
  <c r="S31" i="17"/>
  <c r="W29" i="17"/>
  <c r="R29" i="17"/>
  <c r="AH29" i="17"/>
  <c r="AR29" i="17" s="1"/>
  <c r="AG38" i="17"/>
  <c r="N38" i="17"/>
  <c r="MM39" i="17"/>
  <c r="MN39" i="17" s="1"/>
  <c r="MQ39" i="17"/>
  <c r="NV38" i="17"/>
  <c r="AA33" i="17"/>
  <c r="O37" i="17"/>
  <c r="MO37" i="17"/>
  <c r="Z41" i="17"/>
  <c r="MJ41" i="17"/>
  <c r="J41" i="17"/>
  <c r="NU40" i="17"/>
  <c r="LF36" i="17"/>
  <c r="LH36" i="17"/>
  <c r="LG36" i="17"/>
  <c r="LK36" i="17" s="1"/>
  <c r="MS36" i="17"/>
  <c r="V36" i="17" s="1"/>
  <c r="P36" i="17"/>
  <c r="K40" i="17"/>
  <c r="MK40" i="17"/>
  <c r="L40" i="17" s="1"/>
  <c r="MX35" i="17"/>
  <c r="MY35" i="17" s="1"/>
  <c r="NA35" i="17" s="1"/>
  <c r="NB35" i="17" s="1"/>
  <c r="O38" i="17"/>
  <c r="MO38" i="17"/>
  <c r="NN33" i="17"/>
  <c r="MX34" i="17"/>
  <c r="MY34" i="17" s="1"/>
  <c r="NA34" i="17" s="1"/>
  <c r="NB34" i="17" s="1"/>
  <c r="HD36" i="17" l="1"/>
  <c r="HB36" i="17"/>
  <c r="HE36" i="17" s="1"/>
  <c r="NR39" i="17"/>
  <c r="LN38" i="17"/>
  <c r="JM34" i="17"/>
  <c r="JM35" i="17"/>
  <c r="HK36" i="17"/>
  <c r="HI37" i="17"/>
  <c r="HK34" i="17"/>
  <c r="AB35" i="17"/>
  <c r="KV39" i="17"/>
  <c r="KW39" i="17" s="1"/>
  <c r="KX39" i="17" s="1"/>
  <c r="KZ39" i="17" s="1"/>
  <c r="LA39" i="17" s="1"/>
  <c r="LP39" i="17"/>
  <c r="IT39" i="17"/>
  <c r="IU39" i="17" s="1"/>
  <c r="IV39" i="17" s="1"/>
  <c r="IX39" i="17" s="1"/>
  <c r="JN39" i="17"/>
  <c r="NT39" i="17"/>
  <c r="NQ39" i="17"/>
  <c r="NH32" i="17"/>
  <c r="NL32" i="17" s="1"/>
  <c r="NI32" i="17"/>
  <c r="AH30" i="17"/>
  <c r="AR30" i="17" s="1"/>
  <c r="R30" i="17"/>
  <c r="NG32" i="17"/>
  <c r="AE32" i="17" s="1"/>
  <c r="LI35" i="17"/>
  <c r="HB35" i="17"/>
  <c r="HN35" i="17" s="1"/>
  <c r="NI31" i="17"/>
  <c r="AD31" i="17"/>
  <c r="Q31" i="17" s="1"/>
  <c r="NH31" i="17"/>
  <c r="NL31" i="17" s="1"/>
  <c r="LE37" i="17"/>
  <c r="LH37" i="17" s="1"/>
  <c r="HC35" i="17"/>
  <c r="HG35" i="17" s="1"/>
  <c r="LN37" i="17"/>
  <c r="LM38" i="17"/>
  <c r="H40" i="17"/>
  <c r="Y40" i="17" s="1"/>
  <c r="T40" i="17" s="1"/>
  <c r="IR40" i="17"/>
  <c r="HJ37" i="17"/>
  <c r="GS39" i="17"/>
  <c r="GT39" i="17" s="1"/>
  <c r="GV39" i="17" s="1"/>
  <c r="GS38" i="17"/>
  <c r="GT38" i="17" s="1"/>
  <c r="GV38" i="17" s="1"/>
  <c r="JD36" i="17"/>
  <c r="JP36" i="17" s="1"/>
  <c r="JE36" i="17"/>
  <c r="JI36" i="17" s="1"/>
  <c r="JF36" i="17"/>
  <c r="JA37" i="17"/>
  <c r="JC37" i="17" s="1"/>
  <c r="JE37" i="17" s="1"/>
  <c r="JI37" i="17" s="1"/>
  <c r="JH35" i="17"/>
  <c r="JP35" i="17"/>
  <c r="JL37" i="17"/>
  <c r="JK38" i="17"/>
  <c r="HL39" i="17"/>
  <c r="GP40" i="17"/>
  <c r="GR40" i="17" s="1"/>
  <c r="MU40" i="17"/>
  <c r="F41" i="17"/>
  <c r="I41" i="17"/>
  <c r="KT40" i="17"/>
  <c r="LP40" i="17" s="1"/>
  <c r="AG39" i="17"/>
  <c r="AA34" i="17"/>
  <c r="LJ36" i="17"/>
  <c r="AB33" i="17"/>
  <c r="X33" i="17" s="1"/>
  <c r="N39" i="17"/>
  <c r="NJ31" i="17"/>
  <c r="NV39" i="17"/>
  <c r="NS31" i="17"/>
  <c r="ND33" i="17"/>
  <c r="AA35" i="17"/>
  <c r="NO33" i="17"/>
  <c r="MQ40" i="17"/>
  <c r="MM40" i="17"/>
  <c r="MN40" i="17" s="1"/>
  <c r="NN34" i="17"/>
  <c r="O39" i="17"/>
  <c r="MO39" i="17"/>
  <c r="P38" i="17"/>
  <c r="MS38" i="17"/>
  <c r="V38" i="17" s="1"/>
  <c r="K41" i="17"/>
  <c r="MK41" i="17"/>
  <c r="L41" i="17" s="1"/>
  <c r="HF36" i="17"/>
  <c r="NM36" i="17"/>
  <c r="MT36" i="17"/>
  <c r="MW36" i="17" s="1"/>
  <c r="Z42" i="17"/>
  <c r="MJ42" i="17"/>
  <c r="J42" i="17"/>
  <c r="NU41" i="17"/>
  <c r="LR36" i="17"/>
  <c r="LI36" i="17"/>
  <c r="NN35" i="17"/>
  <c r="P37" i="17"/>
  <c r="MS37" i="17"/>
  <c r="V37" i="17" s="1"/>
  <c r="X35" i="17" l="1"/>
  <c r="JN40" i="17"/>
  <c r="HN36" i="17"/>
  <c r="LC38" i="17"/>
  <c r="LE38" i="17" s="1"/>
  <c r="LF38" i="17" s="1"/>
  <c r="NR40" i="17"/>
  <c r="LO36" i="17"/>
  <c r="LN39" i="17"/>
  <c r="JM37" i="17"/>
  <c r="GW39" i="17"/>
  <c r="GY39" i="17" s="1"/>
  <c r="HA39" i="17" s="1"/>
  <c r="HK35" i="17"/>
  <c r="HI38" i="17"/>
  <c r="NP31" i="17"/>
  <c r="NP32" i="17"/>
  <c r="NT40" i="17"/>
  <c r="NQ40" i="17"/>
  <c r="NK32" i="17"/>
  <c r="AF32" i="17"/>
  <c r="AH32" i="17" s="1"/>
  <c r="AR32" i="17" s="1"/>
  <c r="HE35" i="17"/>
  <c r="NS32" i="17"/>
  <c r="NJ32" i="17"/>
  <c r="NK31" i="17"/>
  <c r="HF35" i="17"/>
  <c r="AF31" i="17"/>
  <c r="W31" i="17" s="1"/>
  <c r="LG37" i="17"/>
  <c r="LK37" i="17" s="1"/>
  <c r="NF33" i="17"/>
  <c r="AD33" i="17" s="1"/>
  <c r="Q33" i="17" s="1"/>
  <c r="LF37" i="17"/>
  <c r="LI37" i="17" s="1"/>
  <c r="H41" i="17"/>
  <c r="Y41" i="17" s="1"/>
  <c r="T41" i="17" s="1"/>
  <c r="IR41" i="17"/>
  <c r="GW37" i="17"/>
  <c r="GY37" i="17" s="1"/>
  <c r="LM39" i="17"/>
  <c r="HI39" i="17"/>
  <c r="HJ38" i="17"/>
  <c r="GS40" i="17"/>
  <c r="GT40" i="17" s="1"/>
  <c r="GV40" i="17" s="1"/>
  <c r="IY39" i="17"/>
  <c r="JH36" i="17"/>
  <c r="JL38" i="17"/>
  <c r="IY38" i="17"/>
  <c r="JA38" i="17" s="1"/>
  <c r="JC38" i="17" s="1"/>
  <c r="JE38" i="17" s="1"/>
  <c r="JI38" i="17" s="1"/>
  <c r="JG36" i="17"/>
  <c r="JD37" i="17"/>
  <c r="JG37" i="17" s="1"/>
  <c r="JF37" i="17"/>
  <c r="JH37" i="17"/>
  <c r="JK39" i="17"/>
  <c r="IT40" i="17"/>
  <c r="HL40" i="17"/>
  <c r="GP41" i="17"/>
  <c r="HL41" i="17" s="1"/>
  <c r="KT41" i="17"/>
  <c r="LP41" i="17" s="1"/>
  <c r="MU41" i="17"/>
  <c r="KV40" i="17"/>
  <c r="U33" i="17"/>
  <c r="S33" i="17"/>
  <c r="F42" i="17"/>
  <c r="I42" i="17"/>
  <c r="AB34" i="17"/>
  <c r="N40" i="17"/>
  <c r="NO35" i="17"/>
  <c r="NV40" i="17"/>
  <c r="AG40" i="17"/>
  <c r="ND35" i="17"/>
  <c r="MJ43" i="17"/>
  <c r="J43" i="17"/>
  <c r="Z43" i="17"/>
  <c r="NU42" i="17"/>
  <c r="NO34" i="17"/>
  <c r="ND34" i="17"/>
  <c r="MQ41" i="17"/>
  <c r="NM38" i="17"/>
  <c r="MT38" i="17"/>
  <c r="MW38" i="17" s="1"/>
  <c r="NM37" i="17"/>
  <c r="MT37" i="17"/>
  <c r="MW37" i="17" s="1"/>
  <c r="K42" i="17"/>
  <c r="MK42" i="17"/>
  <c r="L42" i="17" s="1"/>
  <c r="MX36" i="17"/>
  <c r="MY36" i="17" s="1"/>
  <c r="NA36" i="17" s="1"/>
  <c r="NB36" i="17" s="1"/>
  <c r="O40" i="17"/>
  <c r="MO40" i="17"/>
  <c r="MM41" i="17"/>
  <c r="MS39" i="17"/>
  <c r="V39" i="17" s="1"/>
  <c r="P39" i="17"/>
  <c r="X34" i="17" l="1"/>
  <c r="U34" i="17" s="1"/>
  <c r="JN41" i="17"/>
  <c r="HJ39" i="17"/>
  <c r="LC39" i="17"/>
  <c r="LE39" i="17" s="1"/>
  <c r="LH39" i="17" s="1"/>
  <c r="NR41" i="17"/>
  <c r="JM36" i="17"/>
  <c r="HI40" i="17"/>
  <c r="NQ41" i="17"/>
  <c r="NT41" i="17"/>
  <c r="W32" i="17"/>
  <c r="R32" i="17"/>
  <c r="LG38" i="17"/>
  <c r="LK38" i="17" s="1"/>
  <c r="LJ37" i="17"/>
  <c r="NI33" i="17"/>
  <c r="NH33" i="17"/>
  <c r="NL33" i="17" s="1"/>
  <c r="R31" i="17"/>
  <c r="AH31" i="17"/>
  <c r="AR31" i="17" s="1"/>
  <c r="NG33" i="17"/>
  <c r="AE33" i="17" s="1"/>
  <c r="LR37" i="17"/>
  <c r="NF34" i="17"/>
  <c r="AD34" i="17" s="1"/>
  <c r="Q34" i="17" s="1"/>
  <c r="NF35" i="17"/>
  <c r="NG35" i="17" s="1"/>
  <c r="AE35" i="17" s="1"/>
  <c r="LI38" i="17"/>
  <c r="LR38" i="17"/>
  <c r="LH38" i="17"/>
  <c r="HA37" i="17"/>
  <c r="HB37" i="17" s="1"/>
  <c r="HE37" i="17" s="1"/>
  <c r="GR41" i="17"/>
  <c r="H42" i="17"/>
  <c r="Y42" i="17" s="1"/>
  <c r="T42" i="17" s="1"/>
  <c r="IR42" i="17"/>
  <c r="GW40" i="17"/>
  <c r="GY40" i="17" s="1"/>
  <c r="GW38" i="17"/>
  <c r="GY38" i="17" s="1"/>
  <c r="KW40" i="17"/>
  <c r="KX40" i="17" s="1"/>
  <c r="KZ40" i="17" s="1"/>
  <c r="LA40" i="17" s="1"/>
  <c r="JA39" i="17"/>
  <c r="JC39" i="17" s="1"/>
  <c r="JL39" i="17"/>
  <c r="JP37" i="17"/>
  <c r="JH38" i="17"/>
  <c r="JD38" i="17"/>
  <c r="JG38" i="17" s="1"/>
  <c r="JF38" i="17"/>
  <c r="IU40" i="17"/>
  <c r="IV40" i="17" s="1"/>
  <c r="IX40" i="17" s="1"/>
  <c r="KV41" i="17"/>
  <c r="GP42" i="17"/>
  <c r="GR42" i="17" s="1"/>
  <c r="IT41" i="17"/>
  <c r="KT42" i="17"/>
  <c r="LP42" i="17" s="1"/>
  <c r="MU42" i="17"/>
  <c r="U35" i="17"/>
  <c r="S35" i="17"/>
  <c r="F43" i="17"/>
  <c r="I43" i="17"/>
  <c r="AA36" i="17"/>
  <c r="AG41" i="17"/>
  <c r="MQ42" i="17"/>
  <c r="MM42" i="17"/>
  <c r="MN42" i="17" s="1"/>
  <c r="N41" i="17"/>
  <c r="MN41" i="17"/>
  <c r="MX37" i="17"/>
  <c r="MY37" i="17" s="1"/>
  <c r="NA37" i="17" s="1"/>
  <c r="NB37" i="17" s="1"/>
  <c r="MX38" i="17"/>
  <c r="MY38" i="17" s="1"/>
  <c r="NA38" i="17" s="1"/>
  <c r="NB38" i="17" s="1"/>
  <c r="NM39" i="17"/>
  <c r="MT39" i="17"/>
  <c r="MW39" i="17" s="1"/>
  <c r="P40" i="17"/>
  <c r="MS40" i="17"/>
  <c r="V40" i="17" s="1"/>
  <c r="K43" i="17"/>
  <c r="MK43" i="17"/>
  <c r="L43" i="17" s="1"/>
  <c r="NV41" i="17"/>
  <c r="Z44" i="17"/>
  <c r="J44" i="17"/>
  <c r="MJ44" i="17"/>
  <c r="NN36" i="17"/>
  <c r="HD39" i="17"/>
  <c r="HB39" i="17"/>
  <c r="HC39" i="17"/>
  <c r="HG39" i="17" s="1"/>
  <c r="NU43" i="17"/>
  <c r="S34" i="17" l="1"/>
  <c r="JN42" i="17"/>
  <c r="GS41" i="17"/>
  <c r="GT41" i="17" s="1"/>
  <c r="GV41" i="17" s="1"/>
  <c r="LG39" i="17"/>
  <c r="LF39" i="17"/>
  <c r="LI39" i="17" s="1"/>
  <c r="NR42" i="17"/>
  <c r="LM40" i="17"/>
  <c r="LO37" i="17"/>
  <c r="JM38" i="17"/>
  <c r="HK39" i="17"/>
  <c r="NP33" i="17"/>
  <c r="AB38" i="17"/>
  <c r="NT42" i="17"/>
  <c r="NQ42" i="17"/>
  <c r="LJ38" i="17"/>
  <c r="AF33" i="17"/>
  <c r="AH33" i="17" s="1"/>
  <c r="AR33" i="17" s="1"/>
  <c r="NG34" i="17"/>
  <c r="AE34" i="17" s="1"/>
  <c r="NS33" i="17"/>
  <c r="NI34" i="17"/>
  <c r="NH34" i="17"/>
  <c r="NL34" i="17" s="1"/>
  <c r="NJ33" i="17"/>
  <c r="NK33" i="17"/>
  <c r="HC37" i="17"/>
  <c r="HG37" i="17" s="1"/>
  <c r="NH35" i="17"/>
  <c r="NL35" i="17" s="1"/>
  <c r="AD35" i="17"/>
  <c r="Q35" i="17" s="1"/>
  <c r="NI35" i="17"/>
  <c r="HA38" i="17"/>
  <c r="HD38" i="17" s="1"/>
  <c r="HA40" i="17"/>
  <c r="HD40" i="17" s="1"/>
  <c r="HN37" i="17"/>
  <c r="HD37" i="17"/>
  <c r="H43" i="17"/>
  <c r="Y43" i="17" s="1"/>
  <c r="T43" i="17" s="1"/>
  <c r="IR43" i="17"/>
  <c r="HJ40" i="17"/>
  <c r="LN40" i="17"/>
  <c r="KW41" i="17"/>
  <c r="KX41" i="17" s="1"/>
  <c r="KZ41" i="17" s="1"/>
  <c r="LA41" i="17" s="1"/>
  <c r="GS42" i="17"/>
  <c r="GT42" i="17" s="1"/>
  <c r="GV42" i="17" s="1"/>
  <c r="IY40" i="17"/>
  <c r="JF39" i="17"/>
  <c r="JE39" i="17"/>
  <c r="JI39" i="17" s="1"/>
  <c r="JD39" i="17"/>
  <c r="JP39" i="17" s="1"/>
  <c r="JP38" i="17"/>
  <c r="JK40" i="17"/>
  <c r="IU41" i="17"/>
  <c r="IV41" i="17" s="1"/>
  <c r="IX41" i="17" s="1"/>
  <c r="HL42" i="17"/>
  <c r="KT43" i="17"/>
  <c r="IT42" i="17"/>
  <c r="GP43" i="17"/>
  <c r="HL43" i="17" s="1"/>
  <c r="KV42" i="17"/>
  <c r="MU43" i="17"/>
  <c r="F44" i="17"/>
  <c r="I44" i="17"/>
  <c r="AG42" i="17"/>
  <c r="AB36" i="17"/>
  <c r="NV42" i="17"/>
  <c r="NS35" i="17"/>
  <c r="NJ35" i="17"/>
  <c r="N42" i="17"/>
  <c r="MQ43" i="17"/>
  <c r="AA38" i="17"/>
  <c r="AA37" i="17"/>
  <c r="HF39" i="17"/>
  <c r="O41" i="17"/>
  <c r="MO41" i="17"/>
  <c r="Z45" i="17"/>
  <c r="MJ45" i="17"/>
  <c r="J45" i="17"/>
  <c r="NU44" i="17"/>
  <c r="O42" i="17"/>
  <c r="MO42" i="17"/>
  <c r="MX39" i="17"/>
  <c r="MY39" i="17" s="1"/>
  <c r="NA39" i="17" s="1"/>
  <c r="NB39" i="17" s="1"/>
  <c r="HE39" i="17"/>
  <c r="HN39" i="17"/>
  <c r="K44" i="17"/>
  <c r="MK44" i="17"/>
  <c r="L44" i="17" s="1"/>
  <c r="MM43" i="17"/>
  <c r="NN38" i="17"/>
  <c r="NN37" i="17"/>
  <c r="NO36" i="17"/>
  <c r="ND36" i="17"/>
  <c r="NM40" i="17"/>
  <c r="MT40" i="17"/>
  <c r="MW40" i="17" s="1"/>
  <c r="X38" i="17" l="1"/>
  <c r="X36" i="17"/>
  <c r="U36" i="17" s="1"/>
  <c r="LK39" i="17"/>
  <c r="LO39" i="17" s="1"/>
  <c r="GW41" i="17"/>
  <c r="GY41" i="17" s="1"/>
  <c r="HA41" i="17" s="1"/>
  <c r="HC41" i="17" s="1"/>
  <c r="HG41" i="17" s="1"/>
  <c r="HI41" i="17"/>
  <c r="LJ39" i="17"/>
  <c r="LR39" i="17"/>
  <c r="NR43" i="17"/>
  <c r="LM41" i="17"/>
  <c r="LO38" i="17"/>
  <c r="HJ41" i="17"/>
  <c r="HJ42" i="17"/>
  <c r="NP35" i="17"/>
  <c r="NP34" i="17"/>
  <c r="IT43" i="17"/>
  <c r="IU43" i="17" s="1"/>
  <c r="IV43" i="17" s="1"/>
  <c r="IX43" i="17" s="1"/>
  <c r="JN43" i="17"/>
  <c r="NT43" i="17"/>
  <c r="NQ43" i="17"/>
  <c r="KV43" i="17"/>
  <c r="KW43" i="17" s="1"/>
  <c r="KX43" i="17" s="1"/>
  <c r="KZ43" i="17" s="1"/>
  <c r="LA43" i="17" s="1"/>
  <c r="LP43" i="17"/>
  <c r="NS34" i="17"/>
  <c r="W33" i="17"/>
  <c r="R33" i="17"/>
  <c r="NJ34" i="17"/>
  <c r="AF35" i="17"/>
  <c r="R35" i="17" s="1"/>
  <c r="AF34" i="17"/>
  <c r="W34" i="17" s="1"/>
  <c r="NK34" i="17"/>
  <c r="NK35" i="17"/>
  <c r="HF37" i="17"/>
  <c r="HB38" i="17"/>
  <c r="HE38" i="17" s="1"/>
  <c r="HC38" i="17"/>
  <c r="HG38" i="17" s="1"/>
  <c r="NF36" i="17"/>
  <c r="AD36" i="17" s="1"/>
  <c r="Q36" i="17" s="1"/>
  <c r="HC40" i="17"/>
  <c r="HG40" i="17" s="1"/>
  <c r="HB40" i="17"/>
  <c r="HN40" i="17" s="1"/>
  <c r="LC40" i="17"/>
  <c r="H44" i="17"/>
  <c r="Y44" i="17" s="1"/>
  <c r="T44" i="17" s="1"/>
  <c r="IR44" i="17"/>
  <c r="LN41" i="17"/>
  <c r="HI42" i="17"/>
  <c r="KW42" i="17"/>
  <c r="KX42" i="17" s="1"/>
  <c r="KZ42" i="17" s="1"/>
  <c r="LA42" i="17" s="1"/>
  <c r="IY41" i="17"/>
  <c r="JL40" i="17"/>
  <c r="JG39" i="17"/>
  <c r="JH39" i="17"/>
  <c r="JK41" i="17"/>
  <c r="JA40" i="17"/>
  <c r="IU42" i="17"/>
  <c r="IV42" i="17" s="1"/>
  <c r="IX42" i="17" s="1"/>
  <c r="GR43" i="17"/>
  <c r="GP44" i="17"/>
  <c r="GR44" i="17" s="1"/>
  <c r="KT44" i="17"/>
  <c r="LP44" i="17" s="1"/>
  <c r="MU44" i="17"/>
  <c r="F45" i="17"/>
  <c r="I45" i="17"/>
  <c r="AG43" i="17"/>
  <c r="AB37" i="17"/>
  <c r="X37" i="17" s="1"/>
  <c r="NV43" i="17"/>
  <c r="MM44" i="17"/>
  <c r="MN44" i="17" s="1"/>
  <c r="ND37" i="17"/>
  <c r="NO37" i="17"/>
  <c r="ND38" i="17"/>
  <c r="AA39" i="17"/>
  <c r="NO38" i="17"/>
  <c r="P42" i="17"/>
  <c r="MS42" i="17"/>
  <c r="V42" i="17" s="1"/>
  <c r="N43" i="17"/>
  <c r="MN43" i="17"/>
  <c r="Z46" i="17"/>
  <c r="MJ46" i="17"/>
  <c r="J46" i="17"/>
  <c r="MS41" i="17"/>
  <c r="V41" i="17" s="1"/>
  <c r="P41" i="17"/>
  <c r="MX40" i="17"/>
  <c r="MY40" i="17" s="1"/>
  <c r="NA40" i="17" s="1"/>
  <c r="NB40" i="17" s="1"/>
  <c r="MQ44" i="17"/>
  <c r="NU45" i="17"/>
  <c r="NN39" i="17"/>
  <c r="K45" i="17"/>
  <c r="MK45" i="17"/>
  <c r="L45" i="17" s="1"/>
  <c r="S36" i="17" l="1"/>
  <c r="JN44" i="17"/>
  <c r="GW42" i="17"/>
  <c r="GY42" i="17" s="1"/>
  <c r="HA42" i="17" s="1"/>
  <c r="HD42" i="17" s="1"/>
  <c r="NR44" i="17"/>
  <c r="LN43" i="17"/>
  <c r="LM42" i="17"/>
  <c r="JM39" i="17"/>
  <c r="HF38" i="17"/>
  <c r="HK38" i="17"/>
  <c r="HK37" i="17"/>
  <c r="NT44" i="17"/>
  <c r="NQ44" i="17"/>
  <c r="AH35" i="17"/>
  <c r="AR35" i="17" s="1"/>
  <c r="NG36" i="17"/>
  <c r="AE36" i="17" s="1"/>
  <c r="W35" i="17"/>
  <c r="NH36" i="17"/>
  <c r="NL36" i="17" s="1"/>
  <c r="R34" i="17"/>
  <c r="NI36" i="17"/>
  <c r="AH34" i="17"/>
  <c r="AR34" i="17" s="1"/>
  <c r="HN38" i="17"/>
  <c r="HE40" i="17"/>
  <c r="HD41" i="17"/>
  <c r="NF38" i="17"/>
  <c r="AD38" i="17" s="1"/>
  <c r="Q38" i="17" s="1"/>
  <c r="NF37" i="17"/>
  <c r="NG37" i="17" s="1"/>
  <c r="AE37" i="17" s="1"/>
  <c r="LE40" i="17"/>
  <c r="LF40" i="17" s="1"/>
  <c r="LR40" i="17" s="1"/>
  <c r="HK41" i="17"/>
  <c r="HF41" i="17"/>
  <c r="HK40" i="17"/>
  <c r="HF40" i="17"/>
  <c r="HB41" i="17"/>
  <c r="HE41" i="17" s="1"/>
  <c r="H45" i="17"/>
  <c r="Y45" i="17" s="1"/>
  <c r="T45" i="17" s="1"/>
  <c r="IR45" i="17"/>
  <c r="LC41" i="17"/>
  <c r="LM43" i="17"/>
  <c r="LN42" i="17"/>
  <c r="GS44" i="17"/>
  <c r="GT44" i="17" s="1"/>
  <c r="GV44" i="17" s="1"/>
  <c r="GS43" i="17"/>
  <c r="GT43" i="17" s="1"/>
  <c r="GV43" i="17" s="1"/>
  <c r="IY43" i="17"/>
  <c r="IY42" i="17"/>
  <c r="JL41" i="17"/>
  <c r="JK43" i="17"/>
  <c r="JC40" i="17"/>
  <c r="JE40" i="17" s="1"/>
  <c r="JI40" i="17" s="1"/>
  <c r="JA41" i="17"/>
  <c r="JK42" i="17"/>
  <c r="HL44" i="17"/>
  <c r="KV44" i="17"/>
  <c r="KT45" i="17"/>
  <c r="LP45" i="17" s="1"/>
  <c r="IT44" i="17"/>
  <c r="GP45" i="17"/>
  <c r="HL45" i="17" s="1"/>
  <c r="U38" i="17"/>
  <c r="S38" i="17"/>
  <c r="MU45" i="17"/>
  <c r="F46" i="17"/>
  <c r="I46" i="17"/>
  <c r="U37" i="17"/>
  <c r="S37" i="17"/>
  <c r="AG44" i="17"/>
  <c r="AB39" i="17"/>
  <c r="X39" i="17" s="1"/>
  <c r="N44" i="17"/>
  <c r="NO39" i="17"/>
  <c r="MQ45" i="17"/>
  <c r="MM45" i="17"/>
  <c r="N45" i="17" s="1"/>
  <c r="ND39" i="17"/>
  <c r="AA40" i="17"/>
  <c r="NM42" i="17"/>
  <c r="MT42" i="17"/>
  <c r="MW42" i="17" s="1"/>
  <c r="K46" i="17"/>
  <c r="MK46" i="17"/>
  <c r="L46" i="17" s="1"/>
  <c r="O44" i="17"/>
  <c r="MO44" i="17"/>
  <c r="NN40" i="17"/>
  <c r="NM41" i="17"/>
  <c r="MT41" i="17"/>
  <c r="MW41" i="17" s="1"/>
  <c r="O43" i="17"/>
  <c r="MO43" i="17"/>
  <c r="NV44" i="17"/>
  <c r="Z47" i="17"/>
  <c r="J47" i="17"/>
  <c r="MJ47" i="17"/>
  <c r="NU46" i="17"/>
  <c r="LC43" i="17" l="1"/>
  <c r="LE43" i="17" s="1"/>
  <c r="LF43" i="17" s="1"/>
  <c r="LR43" i="17" s="1"/>
  <c r="HC42" i="17"/>
  <c r="HG42" i="17" s="1"/>
  <c r="HB42" i="17"/>
  <c r="HE42" i="17" s="1"/>
  <c r="NR45" i="17"/>
  <c r="HI43" i="17"/>
  <c r="HJ44" i="17"/>
  <c r="NP36" i="17"/>
  <c r="NQ45" i="17"/>
  <c r="NT45" i="17"/>
  <c r="IT45" i="17"/>
  <c r="IU45" i="17" s="1"/>
  <c r="IV45" i="17" s="1"/>
  <c r="IX45" i="17" s="1"/>
  <c r="JN45" i="17"/>
  <c r="NS36" i="17"/>
  <c r="NG38" i="17"/>
  <c r="AE38" i="17" s="1"/>
  <c r="AF36" i="17"/>
  <c r="W36" i="17" s="1"/>
  <c r="NI38" i="17"/>
  <c r="KV45" i="17"/>
  <c r="KW45" i="17" s="1"/>
  <c r="KX45" i="17" s="1"/>
  <c r="KZ45" i="17" s="1"/>
  <c r="LA45" i="17" s="1"/>
  <c r="NK36" i="17"/>
  <c r="NJ36" i="17"/>
  <c r="HN41" i="17"/>
  <c r="NH38" i="17"/>
  <c r="NL38" i="17" s="1"/>
  <c r="NF39" i="17"/>
  <c r="AD39" i="17" s="1"/>
  <c r="Q39" i="17" s="1"/>
  <c r="AD37" i="17"/>
  <c r="Q37" i="17" s="1"/>
  <c r="NH37" i="17"/>
  <c r="NL37" i="17" s="1"/>
  <c r="NI37" i="17"/>
  <c r="LI40" i="17"/>
  <c r="LE41" i="17"/>
  <c r="LH41" i="17" s="1"/>
  <c r="LH40" i="17"/>
  <c r="LG40" i="17"/>
  <c r="LK40" i="17" s="1"/>
  <c r="H46" i="17"/>
  <c r="Y46" i="17" s="1"/>
  <c r="T46" i="17" s="1"/>
  <c r="IR46" i="17"/>
  <c r="HI44" i="17"/>
  <c r="LC42" i="17"/>
  <c r="HJ43" i="17"/>
  <c r="KW44" i="17"/>
  <c r="KX44" i="17" s="1"/>
  <c r="KZ44" i="17" s="1"/>
  <c r="LA44" i="17" s="1"/>
  <c r="JA42" i="17"/>
  <c r="JC42" i="17" s="1"/>
  <c r="JF42" i="17" s="1"/>
  <c r="JA43" i="17"/>
  <c r="JC43" i="17" s="1"/>
  <c r="JL42" i="17"/>
  <c r="JD40" i="17"/>
  <c r="JG40" i="17" s="1"/>
  <c r="JF40" i="17"/>
  <c r="JC41" i="17"/>
  <c r="JF41" i="17" s="1"/>
  <c r="JH40" i="17"/>
  <c r="JL43" i="17"/>
  <c r="IU44" i="17"/>
  <c r="IV44" i="17" s="1"/>
  <c r="IX44" i="17" s="1"/>
  <c r="KT46" i="17"/>
  <c r="GR45" i="17"/>
  <c r="GP46" i="17"/>
  <c r="GR46" i="17" s="1"/>
  <c r="F47" i="17"/>
  <c r="I47" i="17"/>
  <c r="U39" i="17"/>
  <c r="S39" i="17"/>
  <c r="MU46" i="17"/>
  <c r="NJ37" i="17"/>
  <c r="NS37" i="17"/>
  <c r="AB40" i="17"/>
  <c r="X40" i="17" s="1"/>
  <c r="MN45" i="17"/>
  <c r="MO45" i="17" s="1"/>
  <c r="NV45" i="17"/>
  <c r="AG45" i="17"/>
  <c r="ND40" i="17"/>
  <c r="NO40" i="17"/>
  <c r="MM46" i="17"/>
  <c r="MN46" i="17" s="1"/>
  <c r="MQ46" i="17"/>
  <c r="MX42" i="17"/>
  <c r="MY42" i="17" s="1"/>
  <c r="NA42" i="17" s="1"/>
  <c r="NB42" i="17" s="1"/>
  <c r="NU47" i="17"/>
  <c r="MX41" i="17"/>
  <c r="MY41" i="17" s="1"/>
  <c r="NA41" i="17" s="1"/>
  <c r="NB41" i="17" s="1"/>
  <c r="P44" i="17"/>
  <c r="MS44" i="17"/>
  <c r="V44" i="17" s="1"/>
  <c r="Z48" i="17"/>
  <c r="MJ48" i="17"/>
  <c r="J48" i="17"/>
  <c r="K47" i="17"/>
  <c r="MK47" i="17"/>
  <c r="L47" i="17" s="1"/>
  <c r="P43" i="17"/>
  <c r="MS43" i="17"/>
  <c r="V43" i="17" s="1"/>
  <c r="HF42" i="17" l="1"/>
  <c r="HK42" i="17"/>
  <c r="HN42" i="17"/>
  <c r="GW44" i="17"/>
  <c r="GY44" i="17" s="1"/>
  <c r="HA44" i="17" s="1"/>
  <c r="HB44" i="17" s="1"/>
  <c r="NR46" i="17"/>
  <c r="LC45" i="17"/>
  <c r="LM44" i="17"/>
  <c r="JM40" i="17"/>
  <c r="NP38" i="17"/>
  <c r="NP37" i="17"/>
  <c r="AB42" i="17"/>
  <c r="IT46" i="17"/>
  <c r="IU46" i="17" s="1"/>
  <c r="IV46" i="17" s="1"/>
  <c r="IX46" i="17" s="1"/>
  <c r="JN46" i="17"/>
  <c r="KV46" i="17"/>
  <c r="KW46" i="17" s="1"/>
  <c r="KX46" i="17" s="1"/>
  <c r="KZ46" i="17" s="1"/>
  <c r="LA46" i="17" s="1"/>
  <c r="LP46" i="17"/>
  <c r="NT46" i="17"/>
  <c r="NQ46" i="17"/>
  <c r="NJ38" i="17"/>
  <c r="LH43" i="17"/>
  <c r="LG43" i="17"/>
  <c r="LK43" i="17" s="1"/>
  <c r="NI39" i="17"/>
  <c r="NS38" i="17"/>
  <c r="AF38" i="17"/>
  <c r="W38" i="17" s="1"/>
  <c r="AH36" i="17"/>
  <c r="AR36" i="17" s="1"/>
  <c r="R36" i="17"/>
  <c r="NK38" i="17"/>
  <c r="NH39" i="17"/>
  <c r="NL39" i="17" s="1"/>
  <c r="NG39" i="17"/>
  <c r="AE39" i="17" s="1"/>
  <c r="LG41" i="17"/>
  <c r="LK41" i="17" s="1"/>
  <c r="LI43" i="17"/>
  <c r="LF41" i="17"/>
  <c r="LI41" i="17" s="1"/>
  <c r="AF37" i="17"/>
  <c r="AH37" i="17" s="1"/>
  <c r="AR37" i="17" s="1"/>
  <c r="NK37" i="17"/>
  <c r="NF40" i="17"/>
  <c r="NH40" i="17" s="1"/>
  <c r="NL40" i="17" s="1"/>
  <c r="LO40" i="17"/>
  <c r="LJ40" i="17"/>
  <c r="LE42" i="17"/>
  <c r="LH42" i="17" s="1"/>
  <c r="H47" i="17"/>
  <c r="Y47" i="17" s="1"/>
  <c r="T47" i="17" s="1"/>
  <c r="IR47" i="17"/>
  <c r="GW43" i="17"/>
  <c r="GY43" i="17" s="1"/>
  <c r="LM45" i="17"/>
  <c r="LN44" i="17"/>
  <c r="GS45" i="17"/>
  <c r="GT45" i="17" s="1"/>
  <c r="GV45" i="17" s="1"/>
  <c r="GS46" i="17"/>
  <c r="GT46" i="17" s="1"/>
  <c r="GV46" i="17" s="1"/>
  <c r="IY44" i="17"/>
  <c r="IY45" i="17"/>
  <c r="JE43" i="17"/>
  <c r="JI43" i="17" s="1"/>
  <c r="JF43" i="17"/>
  <c r="JD43" i="17"/>
  <c r="JP43" i="17" s="1"/>
  <c r="JP40" i="17"/>
  <c r="JD42" i="17"/>
  <c r="JG42" i="17" s="1"/>
  <c r="JE42" i="17"/>
  <c r="JI42" i="17" s="1"/>
  <c r="JD41" i="17"/>
  <c r="JG41" i="17" s="1"/>
  <c r="JE41" i="17"/>
  <c r="JI41" i="17" s="1"/>
  <c r="JK45" i="17"/>
  <c r="JK44" i="17"/>
  <c r="HL46" i="17"/>
  <c r="KT47" i="17"/>
  <c r="F48" i="17"/>
  <c r="I48" i="17"/>
  <c r="MU47" i="17"/>
  <c r="GP47" i="17"/>
  <c r="GR47" i="17" s="1"/>
  <c r="U40" i="17"/>
  <c r="S40" i="17"/>
  <c r="O45" i="17"/>
  <c r="NV46" i="17"/>
  <c r="AG46" i="17"/>
  <c r="AA42" i="17"/>
  <c r="AA41" i="17"/>
  <c r="MM47" i="17"/>
  <c r="N47" i="17" s="1"/>
  <c r="N46" i="17"/>
  <c r="MQ47" i="17"/>
  <c r="NM43" i="17"/>
  <c r="MT43" i="17"/>
  <c r="MW43" i="17" s="1"/>
  <c r="NU48" i="17"/>
  <c r="NM44" i="17"/>
  <c r="MT44" i="17"/>
  <c r="MW44" i="17" s="1"/>
  <c r="O46" i="17"/>
  <c r="MO46" i="17"/>
  <c r="MJ49" i="17"/>
  <c r="Z49" i="17"/>
  <c r="J49" i="17"/>
  <c r="NN41" i="17"/>
  <c r="NN42" i="17"/>
  <c r="K48" i="17"/>
  <c r="MK48" i="17"/>
  <c r="L48" i="17" s="1"/>
  <c r="P45" i="17"/>
  <c r="MS45" i="17"/>
  <c r="V45" i="17" s="1"/>
  <c r="X42" i="17" l="1"/>
  <c r="LN45" i="17"/>
  <c r="HD44" i="17"/>
  <c r="HC44" i="17"/>
  <c r="HG44" i="17" s="1"/>
  <c r="NR47" i="17"/>
  <c r="LO43" i="17"/>
  <c r="LN46" i="17"/>
  <c r="JM42" i="17"/>
  <c r="JM43" i="17"/>
  <c r="HJ45" i="17"/>
  <c r="HI46" i="17"/>
  <c r="NP40" i="17"/>
  <c r="NP39" i="17"/>
  <c r="NT47" i="17"/>
  <c r="NQ47" i="17"/>
  <c r="IT47" i="17"/>
  <c r="IU47" i="17" s="1"/>
  <c r="IV47" i="17" s="1"/>
  <c r="IX47" i="17" s="1"/>
  <c r="JN47" i="17"/>
  <c r="KV47" i="17"/>
  <c r="KW47" i="17" s="1"/>
  <c r="KX47" i="17" s="1"/>
  <c r="KZ47" i="17" s="1"/>
  <c r="LA47" i="17" s="1"/>
  <c r="LP47" i="17"/>
  <c r="LJ43" i="17"/>
  <c r="AH38" i="17"/>
  <c r="AR38" i="17" s="1"/>
  <c r="R38" i="17"/>
  <c r="NS39" i="17"/>
  <c r="NJ39" i="17"/>
  <c r="LR41" i="17"/>
  <c r="W37" i="17"/>
  <c r="LJ41" i="17"/>
  <c r="NK39" i="17"/>
  <c r="AF39" i="17"/>
  <c r="AH39" i="17" s="1"/>
  <c r="AR39" i="17" s="1"/>
  <c r="R37" i="17"/>
  <c r="LF42" i="17"/>
  <c r="LR42" i="17" s="1"/>
  <c r="NG40" i="17"/>
  <c r="AE40" i="17" s="1"/>
  <c r="AD40" i="17"/>
  <c r="Q40" i="17" s="1"/>
  <c r="NI40" i="17"/>
  <c r="LG42" i="17"/>
  <c r="LK42" i="17" s="1"/>
  <c r="LE45" i="17"/>
  <c r="LH45" i="17" s="1"/>
  <c r="HA43" i="17"/>
  <c r="HD43" i="17" s="1"/>
  <c r="H48" i="17"/>
  <c r="Y48" i="17" s="1"/>
  <c r="T48" i="17" s="1"/>
  <c r="IR48" i="17"/>
  <c r="LC44" i="17"/>
  <c r="LM46" i="17"/>
  <c r="HI45" i="17"/>
  <c r="HJ46" i="17"/>
  <c r="GS47" i="17"/>
  <c r="GT47" i="17" s="1"/>
  <c r="GV47" i="17" s="1"/>
  <c r="NK40" i="17"/>
  <c r="IY46" i="17"/>
  <c r="JG43" i="17"/>
  <c r="JH43" i="17"/>
  <c r="JL44" i="17"/>
  <c r="JL45" i="17"/>
  <c r="JA45" i="17"/>
  <c r="JC45" i="17" s="1"/>
  <c r="JP41" i="17"/>
  <c r="JH41" i="17"/>
  <c r="JH42" i="17"/>
  <c r="JP42" i="17"/>
  <c r="JA44" i="17"/>
  <c r="JK46" i="17"/>
  <c r="KT48" i="17"/>
  <c r="LP48" i="17" s="1"/>
  <c r="MU48" i="17"/>
  <c r="HL47" i="17"/>
  <c r="F49" i="17"/>
  <c r="I49" i="17"/>
  <c r="GP48" i="17"/>
  <c r="HL48" i="17" s="1"/>
  <c r="AF40" i="17"/>
  <c r="AB41" i="17"/>
  <c r="X41" i="17" s="1"/>
  <c r="MQ48" i="17"/>
  <c r="NV47" i="17"/>
  <c r="AG47" i="17"/>
  <c r="ND41" i="17"/>
  <c r="NO41" i="17"/>
  <c r="NO42" i="17"/>
  <c r="ND42" i="17"/>
  <c r="MM48" i="17"/>
  <c r="MN48" i="17" s="1"/>
  <c r="MN47" i="17"/>
  <c r="MO47" i="17" s="1"/>
  <c r="NU49" i="17"/>
  <c r="NM45" i="17"/>
  <c r="MT45" i="17"/>
  <c r="MW45" i="17" s="1"/>
  <c r="K49" i="17"/>
  <c r="MK49" i="17"/>
  <c r="L49" i="17" s="1"/>
  <c r="P46" i="17"/>
  <c r="MS46" i="17"/>
  <c r="V46" i="17" s="1"/>
  <c r="HE44" i="17"/>
  <c r="HN44" i="17"/>
  <c r="Z50" i="17"/>
  <c r="MJ50" i="17"/>
  <c r="J50" i="17"/>
  <c r="MX44" i="17"/>
  <c r="MY44" i="17" s="1"/>
  <c r="NA44" i="17" s="1"/>
  <c r="NB44" i="17" s="1"/>
  <c r="MX43" i="17"/>
  <c r="MY43" i="17" s="1"/>
  <c r="NA43" i="17" s="1"/>
  <c r="NB43" i="17" s="1"/>
  <c r="HF44" i="17" l="1"/>
  <c r="HK44" i="17"/>
  <c r="LC46" i="17"/>
  <c r="LE46" i="17" s="1"/>
  <c r="LG46" i="17" s="1"/>
  <c r="LK46" i="17" s="1"/>
  <c r="NR48" i="17"/>
  <c r="LM47" i="17"/>
  <c r="LO41" i="17"/>
  <c r="JM41" i="17"/>
  <c r="GW45" i="17"/>
  <c r="GY45" i="17" s="1"/>
  <c r="HA45" i="17" s="1"/>
  <c r="HB45" i="17" s="1"/>
  <c r="HI47" i="17"/>
  <c r="AB44" i="17"/>
  <c r="LF45" i="17"/>
  <c r="LR45" i="17" s="1"/>
  <c r="NT48" i="17"/>
  <c r="NQ48" i="17"/>
  <c r="IT48" i="17"/>
  <c r="IU48" i="17" s="1"/>
  <c r="IV48" i="17" s="1"/>
  <c r="IX48" i="17" s="1"/>
  <c r="JN48" i="17"/>
  <c r="NJ40" i="17"/>
  <c r="NS40" i="17"/>
  <c r="LJ42" i="17"/>
  <c r="LG45" i="17"/>
  <c r="LK45" i="17" s="1"/>
  <c r="W39" i="17"/>
  <c r="R39" i="17"/>
  <c r="LI42" i="17"/>
  <c r="HC43" i="17"/>
  <c r="HG43" i="17" s="1"/>
  <c r="HB43" i="17"/>
  <c r="HE43" i="17" s="1"/>
  <c r="NF42" i="17"/>
  <c r="AD42" i="17" s="1"/>
  <c r="Q42" i="17" s="1"/>
  <c r="NF41" i="17"/>
  <c r="NH41" i="17" s="1"/>
  <c r="NL41" i="17" s="1"/>
  <c r="LE44" i="17"/>
  <c r="LH44" i="17" s="1"/>
  <c r="GW46" i="17"/>
  <c r="GY46" i="17" s="1"/>
  <c r="KV48" i="17"/>
  <c r="KW48" i="17" s="1"/>
  <c r="KX48" i="17" s="1"/>
  <c r="KZ48" i="17" s="1"/>
  <c r="LA48" i="17" s="1"/>
  <c r="H49" i="17"/>
  <c r="Y49" i="17" s="1"/>
  <c r="T49" i="17" s="1"/>
  <c r="IR49" i="17"/>
  <c r="GW47" i="17"/>
  <c r="GY47" i="17" s="1"/>
  <c r="LC47" i="17"/>
  <c r="JL46" i="17"/>
  <c r="JD45" i="17"/>
  <c r="JG45" i="17" s="1"/>
  <c r="JE45" i="17"/>
  <c r="JI45" i="17" s="1"/>
  <c r="JF45" i="17"/>
  <c r="JA46" i="17"/>
  <c r="JC46" i="17" s="1"/>
  <c r="JE46" i="17" s="1"/>
  <c r="JI46" i="17" s="1"/>
  <c r="JC44" i="17"/>
  <c r="JE44" i="17" s="1"/>
  <c r="JI44" i="17" s="1"/>
  <c r="JK47" i="17"/>
  <c r="GP49" i="17"/>
  <c r="GR49" i="17" s="1"/>
  <c r="GR48" i="17"/>
  <c r="KT49" i="17"/>
  <c r="U41" i="17"/>
  <c r="S41" i="17"/>
  <c r="F50" i="17"/>
  <c r="I50" i="17"/>
  <c r="MU49" i="17"/>
  <c r="AH40" i="17"/>
  <c r="AR40" i="17" s="1"/>
  <c r="R40" i="17"/>
  <c r="U42" i="17"/>
  <c r="S42" i="17"/>
  <c r="W40" i="17"/>
  <c r="NV48" i="17"/>
  <c r="AA44" i="17"/>
  <c r="AG48" i="17"/>
  <c r="N48" i="17"/>
  <c r="MM49" i="17"/>
  <c r="MN49" i="17" s="1"/>
  <c r="O47" i="17"/>
  <c r="MQ49" i="17"/>
  <c r="AA43" i="17"/>
  <c r="O48" i="17"/>
  <c r="MO48" i="17"/>
  <c r="MX45" i="17"/>
  <c r="MY45" i="17" s="1"/>
  <c r="NA45" i="17" s="1"/>
  <c r="NB45" i="17" s="1"/>
  <c r="NN43" i="17"/>
  <c r="Z51" i="17"/>
  <c r="J51" i="17"/>
  <c r="MJ51" i="17"/>
  <c r="NU50" i="17"/>
  <c r="NN44" i="17"/>
  <c r="P47" i="17"/>
  <c r="MS47" i="17"/>
  <c r="V47" i="17" s="1"/>
  <c r="NM46" i="17"/>
  <c r="MT46" i="17"/>
  <c r="MW46" i="17" s="1"/>
  <c r="K50" i="17"/>
  <c r="MK50" i="17"/>
  <c r="L50" i="17" s="1"/>
  <c r="X44" i="17" l="1"/>
  <c r="U44" i="17" s="1"/>
  <c r="NR49" i="17"/>
  <c r="LO45" i="17"/>
  <c r="LN48" i="17"/>
  <c r="LI45" i="17"/>
  <c r="LO42" i="17"/>
  <c r="JM45" i="17"/>
  <c r="JM46" i="17"/>
  <c r="NP41" i="17"/>
  <c r="IT49" i="17"/>
  <c r="IU49" i="17" s="1"/>
  <c r="IV49" i="17" s="1"/>
  <c r="IX49" i="17" s="1"/>
  <c r="JN49" i="17"/>
  <c r="NQ49" i="17"/>
  <c r="NT49" i="17"/>
  <c r="KV49" i="17"/>
  <c r="KW49" i="17" s="1"/>
  <c r="KX49" i="17" s="1"/>
  <c r="KZ49" i="17" s="1"/>
  <c r="LA49" i="17" s="1"/>
  <c r="LP49" i="17"/>
  <c r="LJ45" i="17"/>
  <c r="HL49" i="17"/>
  <c r="NG41" i="17"/>
  <c r="AE41" i="17" s="1"/>
  <c r="NG42" i="17"/>
  <c r="AE42" i="17" s="1"/>
  <c r="LF46" i="17"/>
  <c r="LR46" i="17" s="1"/>
  <c r="LH46" i="17"/>
  <c r="NH42" i="17"/>
  <c r="NL42" i="17" s="1"/>
  <c r="NI42" i="17"/>
  <c r="HC45" i="17"/>
  <c r="HG45" i="17" s="1"/>
  <c r="HD45" i="17"/>
  <c r="HN43" i="17"/>
  <c r="HK43" i="17"/>
  <c r="HF43" i="17"/>
  <c r="AD41" i="17"/>
  <c r="Q41" i="17" s="1"/>
  <c r="NI41" i="17"/>
  <c r="LO46" i="17"/>
  <c r="LJ46" i="17"/>
  <c r="LE47" i="17"/>
  <c r="LG47" i="17" s="1"/>
  <c r="LK47" i="17" s="1"/>
  <c r="LF44" i="17"/>
  <c r="LI44" i="17" s="1"/>
  <c r="LG44" i="17"/>
  <c r="LK44" i="17" s="1"/>
  <c r="HN45" i="17"/>
  <c r="HE45" i="17"/>
  <c r="HA46" i="17"/>
  <c r="HB46" i="17" s="1"/>
  <c r="HA47" i="17"/>
  <c r="HC47" i="17" s="1"/>
  <c r="HG47" i="17" s="1"/>
  <c r="HJ47" i="17"/>
  <c r="H50" i="17"/>
  <c r="Y50" i="17" s="1"/>
  <c r="T50" i="17" s="1"/>
  <c r="IR50" i="17"/>
  <c r="LN47" i="17"/>
  <c r="LM48" i="17"/>
  <c r="GS48" i="17"/>
  <c r="GT48" i="17" s="1"/>
  <c r="GV48" i="17" s="1"/>
  <c r="GS49" i="17"/>
  <c r="GT49" i="17" s="1"/>
  <c r="GV49" i="17" s="1"/>
  <c r="IY47" i="17"/>
  <c r="JA47" i="17" s="1"/>
  <c r="JC47" i="17" s="1"/>
  <c r="JF47" i="17" s="1"/>
  <c r="JL47" i="17"/>
  <c r="JH45" i="17"/>
  <c r="JP45" i="17"/>
  <c r="JD44" i="17"/>
  <c r="JP44" i="17" s="1"/>
  <c r="JH46" i="17"/>
  <c r="JD46" i="17"/>
  <c r="JG46" i="17" s="1"/>
  <c r="JF44" i="17"/>
  <c r="JF46" i="17"/>
  <c r="JH44" i="17"/>
  <c r="JK48" i="17"/>
  <c r="MU50" i="17"/>
  <c r="KT50" i="17"/>
  <c r="LP50" i="17" s="1"/>
  <c r="GP50" i="17"/>
  <c r="GR50" i="17" s="1"/>
  <c r="F51" i="17"/>
  <c r="I51" i="17"/>
  <c r="AG49" i="17"/>
  <c r="AF41" i="17"/>
  <c r="AB43" i="17"/>
  <c r="X43" i="17" s="1"/>
  <c r="N49" i="17"/>
  <c r="NK41" i="17"/>
  <c r="NV49" i="17"/>
  <c r="MQ50" i="17"/>
  <c r="ND43" i="17"/>
  <c r="NO43" i="17"/>
  <c r="AA45" i="17"/>
  <c r="MM50" i="17"/>
  <c r="N50" i="17" s="1"/>
  <c r="K51" i="17"/>
  <c r="MK51" i="17"/>
  <c r="L51" i="17" s="1"/>
  <c r="MO49" i="17"/>
  <c r="O49" i="17"/>
  <c r="MX46" i="17"/>
  <c r="MY46" i="17" s="1"/>
  <c r="NA46" i="17" s="1"/>
  <c r="NB46" i="17" s="1"/>
  <c r="NM47" i="17"/>
  <c r="MT47" i="17"/>
  <c r="MW47" i="17" s="1"/>
  <c r="NU51" i="17"/>
  <c r="NO44" i="17"/>
  <c r="ND44" i="17"/>
  <c r="Z52" i="17"/>
  <c r="MJ52" i="17"/>
  <c r="J52" i="17"/>
  <c r="NN45" i="17"/>
  <c r="MS48" i="17"/>
  <c r="V48" i="17" s="1"/>
  <c r="P48" i="17"/>
  <c r="S44" i="17" l="1"/>
  <c r="JN50" i="17"/>
  <c r="LC48" i="17"/>
  <c r="LE48" i="17" s="1"/>
  <c r="LF48" i="17" s="1"/>
  <c r="NR50" i="17"/>
  <c r="LN49" i="17"/>
  <c r="JM44" i="17"/>
  <c r="GW49" i="17"/>
  <c r="GY49" i="17" s="1"/>
  <c r="HA49" i="17" s="1"/>
  <c r="HI48" i="17"/>
  <c r="NP42" i="17"/>
  <c r="NT50" i="17"/>
  <c r="NQ50" i="17"/>
  <c r="HF45" i="17"/>
  <c r="NJ41" i="17"/>
  <c r="NS41" i="17"/>
  <c r="NK42" i="17"/>
  <c r="AF42" i="17"/>
  <c r="R42" i="17" s="1"/>
  <c r="NJ42" i="17"/>
  <c r="HB47" i="17"/>
  <c r="HE47" i="17" s="1"/>
  <c r="LI46" i="17"/>
  <c r="HD47" i="17"/>
  <c r="NS42" i="17"/>
  <c r="LR44" i="17"/>
  <c r="HD46" i="17"/>
  <c r="NF43" i="17"/>
  <c r="AD43" i="17" s="1"/>
  <c r="Q43" i="17" s="1"/>
  <c r="NF44" i="17"/>
  <c r="NH44" i="17" s="1"/>
  <c r="NL44" i="17" s="1"/>
  <c r="LH47" i="17"/>
  <c r="LO44" i="17"/>
  <c r="LJ44" i="17"/>
  <c r="LF47" i="17"/>
  <c r="LI47" i="17" s="1"/>
  <c r="HK47" i="17"/>
  <c r="HF47" i="17"/>
  <c r="HN46" i="17"/>
  <c r="HE46" i="17"/>
  <c r="HC46" i="17"/>
  <c r="HG46" i="17" s="1"/>
  <c r="H51" i="17"/>
  <c r="Y51" i="17" s="1"/>
  <c r="T51" i="17" s="1"/>
  <c r="IR51" i="17"/>
  <c r="LM49" i="17"/>
  <c r="HI49" i="17"/>
  <c r="GS50" i="17"/>
  <c r="GT50" i="17" s="1"/>
  <c r="GV50" i="17" s="1"/>
  <c r="HJ48" i="17"/>
  <c r="IY49" i="17"/>
  <c r="IY48" i="17"/>
  <c r="JA48" i="17" s="1"/>
  <c r="JC48" i="17" s="1"/>
  <c r="JF48" i="17" s="1"/>
  <c r="JL48" i="17"/>
  <c r="JG44" i="17"/>
  <c r="JP46" i="17"/>
  <c r="JE47" i="17"/>
  <c r="JI47" i="17" s="1"/>
  <c r="JD47" i="17"/>
  <c r="JG47" i="17" s="1"/>
  <c r="JK49" i="17"/>
  <c r="HL50" i="17"/>
  <c r="IT50" i="17"/>
  <c r="KV50" i="17"/>
  <c r="GP51" i="17"/>
  <c r="GR51" i="17" s="1"/>
  <c r="W41" i="17"/>
  <c r="R41" i="17"/>
  <c r="KT51" i="17"/>
  <c r="U43" i="17"/>
  <c r="S43" i="17"/>
  <c r="MU51" i="17"/>
  <c r="F52" i="17"/>
  <c r="I52" i="17"/>
  <c r="AH41" i="17"/>
  <c r="AR41" i="17" s="1"/>
  <c r="NV50" i="17"/>
  <c r="LJ47" i="17"/>
  <c r="AB45" i="17"/>
  <c r="X45" i="17" s="1"/>
  <c r="AG50" i="17"/>
  <c r="MN50" i="17"/>
  <c r="O50" i="17" s="1"/>
  <c r="NO45" i="17"/>
  <c r="AA46" i="17"/>
  <c r="ND45" i="17"/>
  <c r="NM48" i="17"/>
  <c r="MT48" i="17"/>
  <c r="MW48" i="17" s="1"/>
  <c r="NU52" i="17"/>
  <c r="Z53" i="17"/>
  <c r="MJ53" i="17"/>
  <c r="J53" i="17"/>
  <c r="MQ51" i="17"/>
  <c r="NN46" i="17"/>
  <c r="P49" i="17"/>
  <c r="MS49" i="17"/>
  <c r="V49" i="17" s="1"/>
  <c r="K52" i="17"/>
  <c r="MK52" i="17"/>
  <c r="L52" i="17" s="1"/>
  <c r="MX47" i="17"/>
  <c r="MY47" i="17" s="1"/>
  <c r="NA47" i="17" s="1"/>
  <c r="NB47" i="17" s="1"/>
  <c r="MM51" i="17"/>
  <c r="LH48" i="17" l="1"/>
  <c r="HJ49" i="17"/>
  <c r="LG48" i="17"/>
  <c r="LC49" i="17"/>
  <c r="LE49" i="17" s="1"/>
  <c r="LF49" i="17" s="1"/>
  <c r="NR51" i="17"/>
  <c r="LO47" i="17"/>
  <c r="HJ50" i="17"/>
  <c r="HK46" i="17"/>
  <c r="HK45" i="17"/>
  <c r="NP44" i="17"/>
  <c r="NT51" i="17"/>
  <c r="NQ51" i="17"/>
  <c r="IT51" i="17"/>
  <c r="IU51" i="17" s="1"/>
  <c r="IV51" i="17" s="1"/>
  <c r="IX51" i="17" s="1"/>
  <c r="JN51" i="17"/>
  <c r="KV51" i="17"/>
  <c r="KW51" i="17" s="1"/>
  <c r="KX51" i="17" s="1"/>
  <c r="KZ51" i="17" s="1"/>
  <c r="LA51" i="17" s="1"/>
  <c r="LP51" i="17"/>
  <c r="AH42" i="17"/>
  <c r="AR42" i="17" s="1"/>
  <c r="W42" i="17"/>
  <c r="HN47" i="17"/>
  <c r="NI43" i="17"/>
  <c r="NG43" i="17"/>
  <c r="AE43" i="17" s="1"/>
  <c r="NG44" i="17"/>
  <c r="AE44" i="17" s="1"/>
  <c r="NH43" i="17"/>
  <c r="NL43" i="17" s="1"/>
  <c r="HF46" i="17"/>
  <c r="NI44" i="17"/>
  <c r="AD44" i="17"/>
  <c r="Q44" i="17" s="1"/>
  <c r="NF45" i="17"/>
  <c r="NG45" i="17" s="1"/>
  <c r="AE45" i="17" s="1"/>
  <c r="LR47" i="17"/>
  <c r="H52" i="17"/>
  <c r="Y52" i="17" s="1"/>
  <c r="T52" i="17" s="1"/>
  <c r="IR52" i="17"/>
  <c r="HI50" i="17"/>
  <c r="KW50" i="17"/>
  <c r="KX50" i="17" s="1"/>
  <c r="KZ50" i="17" s="1"/>
  <c r="LA50" i="17" s="1"/>
  <c r="GS51" i="17"/>
  <c r="GT51" i="17" s="1"/>
  <c r="GV51" i="17" s="1"/>
  <c r="GW48" i="17"/>
  <c r="GY48" i="17" s="1"/>
  <c r="JA49" i="17"/>
  <c r="JC49" i="17" s="1"/>
  <c r="JF49" i="17" s="1"/>
  <c r="JL49" i="17"/>
  <c r="JP47" i="17"/>
  <c r="JH47" i="17"/>
  <c r="JE48" i="17"/>
  <c r="JI48" i="17" s="1"/>
  <c r="JD48" i="17"/>
  <c r="IU50" i="17"/>
  <c r="IV50" i="17" s="1"/>
  <c r="IX50" i="17" s="1"/>
  <c r="HL51" i="17"/>
  <c r="KT52" i="17"/>
  <c r="LP52" i="17" s="1"/>
  <c r="MU52" i="17"/>
  <c r="F53" i="17"/>
  <c r="I53" i="17"/>
  <c r="GP52" i="17"/>
  <c r="HL52" i="17" s="1"/>
  <c r="U45" i="17"/>
  <c r="S45" i="17"/>
  <c r="AG51" i="17"/>
  <c r="AF44" i="17"/>
  <c r="AB46" i="17"/>
  <c r="X46" i="17" s="1"/>
  <c r="MO50" i="17"/>
  <c r="MS50" i="17" s="1"/>
  <c r="V50" i="17" s="1"/>
  <c r="ND46" i="17"/>
  <c r="AA47" i="17"/>
  <c r="NO46" i="17"/>
  <c r="MQ52" i="17"/>
  <c r="MM52" i="17"/>
  <c r="MN52" i="17" s="1"/>
  <c r="K53" i="17"/>
  <c r="MK53" i="17"/>
  <c r="L53" i="17" s="1"/>
  <c r="NK44" i="17"/>
  <c r="NM49" i="17"/>
  <c r="MT49" i="17"/>
  <c r="MW49" i="17" s="1"/>
  <c r="NU53" i="17"/>
  <c r="MX48" i="17"/>
  <c r="MY48" i="17" s="1"/>
  <c r="NA48" i="17" s="1"/>
  <c r="NB48" i="17" s="1"/>
  <c r="N51" i="17"/>
  <c r="MN51" i="17"/>
  <c r="LI48" i="17"/>
  <c r="LR48" i="17"/>
  <c r="Z54" i="17"/>
  <c r="MJ54" i="17"/>
  <c r="J54" i="17"/>
  <c r="NN47" i="17"/>
  <c r="NV51" i="17"/>
  <c r="HD49" i="17"/>
  <c r="HC49" i="17"/>
  <c r="HG49" i="17" s="1"/>
  <c r="HB49" i="17"/>
  <c r="LJ48" i="17" l="1"/>
  <c r="LK48" i="17"/>
  <c r="LO48" i="17" s="1"/>
  <c r="JN52" i="17"/>
  <c r="LG49" i="17"/>
  <c r="LK49" i="17" s="1"/>
  <c r="LH49" i="17"/>
  <c r="GW50" i="17"/>
  <c r="GY50" i="17" s="1"/>
  <c r="HA50" i="17" s="1"/>
  <c r="HB50" i="17" s="1"/>
  <c r="NR52" i="17"/>
  <c r="LM50" i="17"/>
  <c r="LN51" i="17"/>
  <c r="JM47" i="17"/>
  <c r="HK49" i="17"/>
  <c r="HJ51" i="17"/>
  <c r="NP43" i="17"/>
  <c r="NS43" i="17"/>
  <c r="NQ52" i="17"/>
  <c r="NT52" i="17"/>
  <c r="KV52" i="17"/>
  <c r="KW52" i="17" s="1"/>
  <c r="KX52" i="17" s="1"/>
  <c r="KZ52" i="17" s="1"/>
  <c r="LA52" i="17" s="1"/>
  <c r="NS44" i="17"/>
  <c r="NJ44" i="17"/>
  <c r="NJ43" i="17"/>
  <c r="NK43" i="17"/>
  <c r="NH45" i="17"/>
  <c r="NL45" i="17" s="1"/>
  <c r="NI45" i="17"/>
  <c r="AF43" i="17"/>
  <c r="AH43" i="17" s="1"/>
  <c r="AR43" i="17" s="1"/>
  <c r="AD45" i="17"/>
  <c r="Q45" i="17" s="1"/>
  <c r="NF46" i="17"/>
  <c r="AD46" i="17" s="1"/>
  <c r="Q46" i="17" s="1"/>
  <c r="HA48" i="17"/>
  <c r="HB48" i="17" s="1"/>
  <c r="HI51" i="17"/>
  <c r="LM51" i="17"/>
  <c r="H53" i="17"/>
  <c r="IR53" i="17"/>
  <c r="LC50" i="17"/>
  <c r="JL50" i="17"/>
  <c r="IY51" i="17"/>
  <c r="JK51" i="17"/>
  <c r="JH48" i="17"/>
  <c r="JE49" i="17"/>
  <c r="JI49" i="17" s="1"/>
  <c r="JG48" i="17"/>
  <c r="JP48" i="17"/>
  <c r="JD49" i="17"/>
  <c r="JP49" i="17" s="1"/>
  <c r="JK50" i="17"/>
  <c r="GR52" i="17"/>
  <c r="IT52" i="17"/>
  <c r="GP53" i="17"/>
  <c r="HL53" i="17" s="1"/>
  <c r="KT53" i="17"/>
  <c r="LP53" i="17" s="1"/>
  <c r="W44" i="17"/>
  <c r="R44" i="17"/>
  <c r="MU53" i="17"/>
  <c r="U46" i="17"/>
  <c r="S46" i="17"/>
  <c r="F54" i="17"/>
  <c r="I54" i="17"/>
  <c r="AH44" i="17"/>
  <c r="AR44" i="17" s="1"/>
  <c r="AB47" i="17"/>
  <c r="X47" i="17" s="1"/>
  <c r="NJ45" i="17"/>
  <c r="P50" i="17"/>
  <c r="NS45" i="17"/>
  <c r="N52" i="17"/>
  <c r="MQ53" i="17"/>
  <c r="NV52" i="17"/>
  <c r="AG52" i="17"/>
  <c r="AA48" i="17"/>
  <c r="NO47" i="17"/>
  <c r="ND47" i="17"/>
  <c r="MM53" i="17"/>
  <c r="N53" i="17" s="1"/>
  <c r="O52" i="17"/>
  <c r="MO52" i="17"/>
  <c r="NM50" i="17"/>
  <c r="MT50" i="17"/>
  <c r="MW50" i="17" s="1"/>
  <c r="LR49" i="17"/>
  <c r="LI49" i="17"/>
  <c r="Z55" i="17"/>
  <c r="MJ55" i="17"/>
  <c r="J55" i="17"/>
  <c r="NU54" i="17"/>
  <c r="O51" i="17"/>
  <c r="MO51" i="17"/>
  <c r="NN48" i="17"/>
  <c r="K54" i="17"/>
  <c r="MK54" i="17"/>
  <c r="L54" i="17" s="1"/>
  <c r="HF49" i="17"/>
  <c r="HE49" i="17"/>
  <c r="HN49" i="17"/>
  <c r="MX49" i="17"/>
  <c r="MY49" i="17" s="1"/>
  <c r="NA49" i="17" s="1"/>
  <c r="NB49" i="17" s="1"/>
  <c r="LJ49" i="17" l="1"/>
  <c r="HD50" i="17"/>
  <c r="HC50" i="17"/>
  <c r="HG50" i="17" s="1"/>
  <c r="GW51" i="17"/>
  <c r="GY51" i="17" s="1"/>
  <c r="HA51" i="17" s="1"/>
  <c r="HC51" i="17" s="1"/>
  <c r="HG51" i="17" s="1"/>
  <c r="LC51" i="17"/>
  <c r="LE51" i="17" s="1"/>
  <c r="LG51" i="17" s="1"/>
  <c r="LK51" i="17" s="1"/>
  <c r="NR53" i="17"/>
  <c r="LN52" i="17"/>
  <c r="LO49" i="17"/>
  <c r="JM48" i="17"/>
  <c r="NP45" i="17"/>
  <c r="NT53" i="17"/>
  <c r="NQ53" i="17"/>
  <c r="IT53" i="17"/>
  <c r="IU53" i="17" s="1"/>
  <c r="IV53" i="17" s="1"/>
  <c r="IX53" i="17" s="1"/>
  <c r="JN53" i="17"/>
  <c r="NI46" i="17"/>
  <c r="NG46" i="17"/>
  <c r="AE46" i="17" s="1"/>
  <c r="NH46" i="17"/>
  <c r="NL46" i="17" s="1"/>
  <c r="NK45" i="17"/>
  <c r="AF45" i="17"/>
  <c r="AH45" i="17" s="1"/>
  <c r="AR45" i="17" s="1"/>
  <c r="W43" i="17"/>
  <c r="R43" i="17"/>
  <c r="HD48" i="17"/>
  <c r="HC48" i="17"/>
  <c r="HG48" i="17" s="1"/>
  <c r="NF47" i="17"/>
  <c r="AD47" i="17" s="1"/>
  <c r="Q47" i="17" s="1"/>
  <c r="LE50" i="17"/>
  <c r="LH50" i="17" s="1"/>
  <c r="HN48" i="17"/>
  <c r="HE48" i="17"/>
  <c r="H54" i="17"/>
  <c r="Y54" i="17" s="1"/>
  <c r="T54" i="17" s="1"/>
  <c r="IR54" i="17"/>
  <c r="Y53" i="17"/>
  <c r="T53" i="17" s="1"/>
  <c r="LM52" i="17"/>
  <c r="LN50" i="17"/>
  <c r="IY50" i="17"/>
  <c r="JA50" i="17" s="1"/>
  <c r="GS52" i="17"/>
  <c r="GT52" i="17" s="1"/>
  <c r="GV52" i="17" s="1"/>
  <c r="JL51" i="17"/>
  <c r="JG49" i="17"/>
  <c r="JH49" i="17"/>
  <c r="JA51" i="17"/>
  <c r="IU52" i="17"/>
  <c r="IV52" i="17" s="1"/>
  <c r="IX52" i="17" s="1"/>
  <c r="KV53" i="17"/>
  <c r="MU54" i="17"/>
  <c r="GR53" i="17"/>
  <c r="GP54" i="17"/>
  <c r="HL54" i="17" s="1"/>
  <c r="KT54" i="17"/>
  <c r="U47" i="17"/>
  <c r="S47" i="17"/>
  <c r="F55" i="17"/>
  <c r="I55" i="17"/>
  <c r="AB48" i="17"/>
  <c r="X48" i="17" s="1"/>
  <c r="ND48" i="17"/>
  <c r="MN53" i="17"/>
  <c r="MO53" i="17" s="1"/>
  <c r="MM54" i="17"/>
  <c r="MN54" i="17" s="1"/>
  <c r="NV53" i="17"/>
  <c r="AG53" i="17"/>
  <c r="NO48" i="17"/>
  <c r="AA49" i="17"/>
  <c r="MQ54" i="17"/>
  <c r="P51" i="17"/>
  <c r="MS51" i="17"/>
  <c r="V51" i="17" s="1"/>
  <c r="K55" i="17"/>
  <c r="MK55" i="17"/>
  <c r="L55" i="17" s="1"/>
  <c r="MS52" i="17"/>
  <c r="V52" i="17" s="1"/>
  <c r="P52" i="17"/>
  <c r="NN49" i="17"/>
  <c r="Z56" i="17"/>
  <c r="MJ56" i="17"/>
  <c r="J56" i="17"/>
  <c r="NU55" i="17"/>
  <c r="MX50" i="17"/>
  <c r="MY50" i="17" s="1"/>
  <c r="NA50" i="17" s="1"/>
  <c r="NB50" i="17" s="1"/>
  <c r="HE50" i="17"/>
  <c r="HN50" i="17"/>
  <c r="HF50" i="17" l="1"/>
  <c r="HK50" i="17"/>
  <c r="LF51" i="17"/>
  <c r="LR51" i="17" s="1"/>
  <c r="LH51" i="17"/>
  <c r="LC52" i="17"/>
  <c r="LE52" i="17" s="1"/>
  <c r="LF52" i="17" s="1"/>
  <c r="NR54" i="17"/>
  <c r="LO51" i="17"/>
  <c r="JM49" i="17"/>
  <c r="HI52" i="17"/>
  <c r="HF48" i="17"/>
  <c r="HK48" i="17"/>
  <c r="NP46" i="17"/>
  <c r="KV54" i="17"/>
  <c r="KW54" i="17" s="1"/>
  <c r="KX54" i="17" s="1"/>
  <c r="KZ54" i="17" s="1"/>
  <c r="LA54" i="17" s="1"/>
  <c r="LP54" i="17"/>
  <c r="IT54" i="17"/>
  <c r="IU54" i="17" s="1"/>
  <c r="IV54" i="17" s="1"/>
  <c r="IX54" i="17" s="1"/>
  <c r="JN54" i="17"/>
  <c r="NT54" i="17"/>
  <c r="NQ54" i="17"/>
  <c r="NS46" i="17"/>
  <c r="NK46" i="17"/>
  <c r="AF46" i="17"/>
  <c r="R46" i="17" s="1"/>
  <c r="R45" i="17"/>
  <c r="NH47" i="17"/>
  <c r="NL47" i="17" s="1"/>
  <c r="NJ46" i="17"/>
  <c r="NG47" i="17"/>
  <c r="AE47" i="17" s="1"/>
  <c r="W45" i="17"/>
  <c r="NI47" i="17"/>
  <c r="LF50" i="17"/>
  <c r="LR50" i="17" s="1"/>
  <c r="LG50" i="17"/>
  <c r="LK50" i="17" s="1"/>
  <c r="NF48" i="17"/>
  <c r="AD48" i="17" s="1"/>
  <c r="Q48" i="17" s="1"/>
  <c r="HD51" i="17"/>
  <c r="HB51" i="17"/>
  <c r="H55" i="17"/>
  <c r="Y55" i="17" s="1"/>
  <c r="T55" i="17" s="1"/>
  <c r="IR55" i="17"/>
  <c r="KW53" i="17"/>
  <c r="KX53" i="17" s="1"/>
  <c r="KZ53" i="17" s="1"/>
  <c r="LA53" i="17" s="1"/>
  <c r="GS53" i="17"/>
  <c r="GT53" i="17" s="1"/>
  <c r="GV53" i="17" s="1"/>
  <c r="GW52" i="17"/>
  <c r="GY52" i="17" s="1"/>
  <c r="IY53" i="17"/>
  <c r="IY52" i="17"/>
  <c r="JA52" i="17" s="1"/>
  <c r="JC52" i="17" s="1"/>
  <c r="JK53" i="17"/>
  <c r="JC51" i="17"/>
  <c r="JD51" i="17" s="1"/>
  <c r="JC50" i="17"/>
  <c r="JD50" i="17" s="1"/>
  <c r="JK52" i="17"/>
  <c r="GR54" i="17"/>
  <c r="MU55" i="17"/>
  <c r="GP55" i="17"/>
  <c r="HL55" i="17" s="1"/>
  <c r="KT55" i="17"/>
  <c r="LP55" i="17" s="1"/>
  <c r="F56" i="17"/>
  <c r="I56" i="17"/>
  <c r="U48" i="17"/>
  <c r="S48" i="17"/>
  <c r="LJ51" i="17"/>
  <c r="HF51" i="17"/>
  <c r="HK51" i="17"/>
  <c r="AB49" i="17"/>
  <c r="X49" i="17" s="1"/>
  <c r="O53" i="17"/>
  <c r="N54" i="17"/>
  <c r="MQ55" i="17"/>
  <c r="MM55" i="17"/>
  <c r="MN55" i="17" s="1"/>
  <c r="NV54" i="17"/>
  <c r="AG54" i="17"/>
  <c r="AA50" i="17"/>
  <c r="ND49" i="17"/>
  <c r="NO49" i="17"/>
  <c r="MS53" i="17"/>
  <c r="V53" i="17" s="1"/>
  <c r="P53" i="17"/>
  <c r="O54" i="17"/>
  <c r="MO54" i="17"/>
  <c r="K56" i="17"/>
  <c r="MK56" i="17"/>
  <c r="L56" i="17" s="1"/>
  <c r="NM51" i="17"/>
  <c r="MT51" i="17"/>
  <c r="MW51" i="17" s="1"/>
  <c r="NU56" i="17"/>
  <c r="NM52" i="17"/>
  <c r="MT52" i="17"/>
  <c r="MW52" i="17" s="1"/>
  <c r="NN50" i="17"/>
  <c r="Z57" i="17"/>
  <c r="MJ57" i="17"/>
  <c r="J57" i="17"/>
  <c r="JN55" i="17" l="1"/>
  <c r="LI51" i="17"/>
  <c r="NR55" i="17"/>
  <c r="LM53" i="17"/>
  <c r="LN54" i="17"/>
  <c r="HI53" i="17"/>
  <c r="NP47" i="17"/>
  <c r="NQ55" i="17"/>
  <c r="NT55" i="17"/>
  <c r="KV55" i="17"/>
  <c r="KW55" i="17" s="1"/>
  <c r="KX55" i="17" s="1"/>
  <c r="KZ55" i="17" s="1"/>
  <c r="LA55" i="17" s="1"/>
  <c r="W46" i="17"/>
  <c r="AH46" i="17"/>
  <c r="AR46" i="17" s="1"/>
  <c r="NK47" i="17"/>
  <c r="AF47" i="17"/>
  <c r="R47" i="17" s="1"/>
  <c r="NS47" i="17"/>
  <c r="NJ47" i="17"/>
  <c r="NG48" i="17"/>
  <c r="AE48" i="17" s="1"/>
  <c r="NH48" i="17"/>
  <c r="NL48" i="17" s="1"/>
  <c r="LH52" i="17"/>
  <c r="LI50" i="17"/>
  <c r="LJ50" i="17"/>
  <c r="NI48" i="17"/>
  <c r="LG52" i="17"/>
  <c r="LK52" i="17" s="1"/>
  <c r="NF49" i="17"/>
  <c r="AD49" i="17" s="1"/>
  <c r="Q49" i="17" s="1"/>
  <c r="LI52" i="17"/>
  <c r="LR52" i="17"/>
  <c r="HA52" i="17"/>
  <c r="HB52" i="17" s="1"/>
  <c r="HN51" i="17"/>
  <c r="HE51" i="17"/>
  <c r="H56" i="17"/>
  <c r="Y56" i="17" s="1"/>
  <c r="T56" i="17" s="1"/>
  <c r="IR56" i="17"/>
  <c r="LC53" i="17"/>
  <c r="GW53" i="17"/>
  <c r="GY53" i="17" s="1"/>
  <c r="LM54" i="17"/>
  <c r="GS54" i="17"/>
  <c r="GT54" i="17" s="1"/>
  <c r="GV54" i="17" s="1"/>
  <c r="HJ52" i="17"/>
  <c r="IY54" i="17"/>
  <c r="JA53" i="17"/>
  <c r="JC53" i="17" s="1"/>
  <c r="JE53" i="17" s="1"/>
  <c r="JI53" i="17" s="1"/>
  <c r="JE50" i="17"/>
  <c r="JI50" i="17" s="1"/>
  <c r="JF51" i="17"/>
  <c r="JP50" i="17"/>
  <c r="JG50" i="17"/>
  <c r="JP51" i="17"/>
  <c r="JG51" i="17"/>
  <c r="JE51" i="17"/>
  <c r="JI51" i="17" s="1"/>
  <c r="JF50" i="17"/>
  <c r="JL52" i="17"/>
  <c r="JD52" i="17"/>
  <c r="JG52" i="17" s="1"/>
  <c r="JF52" i="17"/>
  <c r="JE52" i="17"/>
  <c r="JI52" i="17" s="1"/>
  <c r="JL53" i="17"/>
  <c r="JK54" i="17"/>
  <c r="GR55" i="17"/>
  <c r="GP56" i="17"/>
  <c r="GR56" i="17" s="1"/>
  <c r="IT55" i="17"/>
  <c r="MU56" i="17"/>
  <c r="KT56" i="17"/>
  <c r="F57" i="17"/>
  <c r="I57" i="17"/>
  <c r="U49" i="17"/>
  <c r="S49" i="17"/>
  <c r="AG55" i="17"/>
  <c r="AB50" i="17"/>
  <c r="X50" i="17" s="1"/>
  <c r="ND50" i="17"/>
  <c r="N55" i="17"/>
  <c r="NV55" i="17"/>
  <c r="MM56" i="17"/>
  <c r="N56" i="17" s="1"/>
  <c r="NO50" i="17"/>
  <c r="P54" i="17"/>
  <c r="MS54" i="17"/>
  <c r="V54" i="17" s="1"/>
  <c r="NM53" i="17"/>
  <c r="MT53" i="17"/>
  <c r="MW53" i="17" s="1"/>
  <c r="K57" i="17"/>
  <c r="MK57" i="17"/>
  <c r="L57" i="17" s="1"/>
  <c r="NU57" i="17"/>
  <c r="MX51" i="17"/>
  <c r="MY51" i="17" s="1"/>
  <c r="NA51" i="17" s="1"/>
  <c r="NB51" i="17" s="1"/>
  <c r="O55" i="17"/>
  <c r="MO55" i="17"/>
  <c r="Z58" i="17"/>
  <c r="MJ58" i="17"/>
  <c r="J58" i="17"/>
  <c r="MX52" i="17"/>
  <c r="MY52" i="17" s="1"/>
  <c r="NA52" i="17" s="1"/>
  <c r="NB52" i="17" s="1"/>
  <c r="MQ56" i="17"/>
  <c r="LC54" i="17" l="1"/>
  <c r="LE54" i="17" s="1"/>
  <c r="LF54" i="17" s="1"/>
  <c r="NR56" i="17"/>
  <c r="LN55" i="17"/>
  <c r="LO50" i="17"/>
  <c r="LO52" i="17"/>
  <c r="JM53" i="17"/>
  <c r="JM52" i="17"/>
  <c r="JM51" i="17"/>
  <c r="HI54" i="17"/>
  <c r="NP48" i="17"/>
  <c r="AB52" i="17"/>
  <c r="KV56" i="17"/>
  <c r="KW56" i="17" s="1"/>
  <c r="KX56" i="17" s="1"/>
  <c r="KZ56" i="17" s="1"/>
  <c r="LA56" i="17" s="1"/>
  <c r="LP56" i="17"/>
  <c r="IT56" i="17"/>
  <c r="IU56" i="17" s="1"/>
  <c r="IV56" i="17" s="1"/>
  <c r="IX56" i="17" s="1"/>
  <c r="JN56" i="17"/>
  <c r="NT56" i="17"/>
  <c r="NQ56" i="17"/>
  <c r="NJ48" i="17"/>
  <c r="W47" i="17"/>
  <c r="NS48" i="17"/>
  <c r="AH47" i="17"/>
  <c r="AR47" i="17" s="1"/>
  <c r="NH49" i="17"/>
  <c r="NL49" i="17" s="1"/>
  <c r="NK48" i="17"/>
  <c r="NI49" i="17"/>
  <c r="NG49" i="17"/>
  <c r="AE49" i="17" s="1"/>
  <c r="AF48" i="17"/>
  <c r="W48" i="17" s="1"/>
  <c r="LJ52" i="17"/>
  <c r="HC52" i="17"/>
  <c r="HG52" i="17" s="1"/>
  <c r="HD52" i="17"/>
  <c r="NF50" i="17"/>
  <c r="NI50" i="17" s="1"/>
  <c r="LE53" i="17"/>
  <c r="LF53" i="17" s="1"/>
  <c r="HN52" i="17"/>
  <c r="HE52" i="17"/>
  <c r="HA53" i="17"/>
  <c r="HD53" i="17" s="1"/>
  <c r="H57" i="17"/>
  <c r="Y57" i="17" s="1"/>
  <c r="T57" i="17" s="1"/>
  <c r="IR57" i="17"/>
  <c r="HJ53" i="17"/>
  <c r="LN53" i="17"/>
  <c r="LM55" i="17"/>
  <c r="GW54" i="17"/>
  <c r="GY54" i="17" s="1"/>
  <c r="GS55" i="17"/>
  <c r="GT55" i="17" s="1"/>
  <c r="GV55" i="17" s="1"/>
  <c r="GS56" i="17"/>
  <c r="GT56" i="17" s="1"/>
  <c r="GV56" i="17" s="1"/>
  <c r="JL54" i="17"/>
  <c r="JA54" i="17"/>
  <c r="JC54" i="17" s="1"/>
  <c r="JH51" i="17"/>
  <c r="JH50" i="17"/>
  <c r="JH53" i="17"/>
  <c r="JD53" i="17"/>
  <c r="JG53" i="17" s="1"/>
  <c r="JF53" i="17"/>
  <c r="JP52" i="17"/>
  <c r="JH52" i="17"/>
  <c r="IU55" i="17"/>
  <c r="IV55" i="17" s="1"/>
  <c r="IX55" i="17" s="1"/>
  <c r="HL56" i="17"/>
  <c r="MU57" i="17"/>
  <c r="U50" i="17"/>
  <c r="S50" i="17"/>
  <c r="GP57" i="17"/>
  <c r="HL57" i="17" s="1"/>
  <c r="KT57" i="17"/>
  <c r="F58" i="17"/>
  <c r="I58" i="17"/>
  <c r="AG56" i="17"/>
  <c r="AA51" i="17"/>
  <c r="MN56" i="17"/>
  <c r="MO56" i="17" s="1"/>
  <c r="MM57" i="17"/>
  <c r="N57" i="17" s="1"/>
  <c r="AA52" i="17"/>
  <c r="K58" i="17"/>
  <c r="MK58" i="17"/>
  <c r="L58" i="17" s="1"/>
  <c r="NV56" i="17"/>
  <c r="Z59" i="17"/>
  <c r="MJ59" i="17"/>
  <c r="J59" i="17"/>
  <c r="NU58" i="17"/>
  <c r="NN51" i="17"/>
  <c r="P55" i="17"/>
  <c r="MS55" i="17"/>
  <c r="V55" i="17" s="1"/>
  <c r="MQ57" i="17"/>
  <c r="MX53" i="17"/>
  <c r="MY53" i="17" s="1"/>
  <c r="NA53" i="17" s="1"/>
  <c r="NB53" i="17" s="1"/>
  <c r="NM54" i="17"/>
  <c r="MT54" i="17"/>
  <c r="MW54" i="17" s="1"/>
  <c r="NN52" i="17"/>
  <c r="X52" i="17" l="1"/>
  <c r="JN57" i="17"/>
  <c r="LG54" i="17"/>
  <c r="LH54" i="17"/>
  <c r="LC55" i="17"/>
  <c r="LE55" i="17" s="1"/>
  <c r="LH55" i="17" s="1"/>
  <c r="NR57" i="17"/>
  <c r="LN56" i="17"/>
  <c r="JM50" i="17"/>
  <c r="HI55" i="17"/>
  <c r="HK52" i="17"/>
  <c r="GW56" i="17"/>
  <c r="GY56" i="17" s="1"/>
  <c r="NP49" i="17"/>
  <c r="IT57" i="17"/>
  <c r="IU57" i="17" s="1"/>
  <c r="IV57" i="17" s="1"/>
  <c r="IX57" i="17" s="1"/>
  <c r="KV57" i="17"/>
  <c r="KW57" i="17" s="1"/>
  <c r="KX57" i="17" s="1"/>
  <c r="KZ57" i="17" s="1"/>
  <c r="LA57" i="17" s="1"/>
  <c r="LP57" i="17"/>
  <c r="NT57" i="17"/>
  <c r="NQ57" i="17"/>
  <c r="AH48" i="17"/>
  <c r="AR48" i="17" s="1"/>
  <c r="NK49" i="17"/>
  <c r="NS49" i="17"/>
  <c r="NJ49" i="17"/>
  <c r="AF49" i="17"/>
  <c r="AH49" i="17" s="1"/>
  <c r="AR49" i="17" s="1"/>
  <c r="R48" i="17"/>
  <c r="HF52" i="17"/>
  <c r="LH53" i="17"/>
  <c r="LG53" i="17"/>
  <c r="LK53" i="17" s="1"/>
  <c r="NG50" i="17"/>
  <c r="AE50" i="17" s="1"/>
  <c r="AD50" i="17"/>
  <c r="Q50" i="17" s="1"/>
  <c r="NH50" i="17"/>
  <c r="NL50" i="17" s="1"/>
  <c r="LI53" i="17"/>
  <c r="LR53" i="17"/>
  <c r="HA54" i="17"/>
  <c r="HB54" i="17" s="1"/>
  <c r="HB53" i="17"/>
  <c r="HE53" i="17" s="1"/>
  <c r="HC53" i="17"/>
  <c r="HG53" i="17" s="1"/>
  <c r="GR57" i="17"/>
  <c r="H58" i="17"/>
  <c r="Y58" i="17" s="1"/>
  <c r="T58" i="17" s="1"/>
  <c r="IR58" i="17"/>
  <c r="HJ55" i="17"/>
  <c r="HI56" i="17"/>
  <c r="HJ54" i="17"/>
  <c r="LM56" i="17"/>
  <c r="IY55" i="17"/>
  <c r="JD54" i="17"/>
  <c r="JG54" i="17" s="1"/>
  <c r="JF54" i="17"/>
  <c r="JE54" i="17"/>
  <c r="JI54" i="17" s="1"/>
  <c r="JP53" i="17"/>
  <c r="JK56" i="17"/>
  <c r="JK55" i="17"/>
  <c r="GP58" i="17"/>
  <c r="HL58" i="17" s="1"/>
  <c r="KT58" i="17"/>
  <c r="MU58" i="17"/>
  <c r="F59" i="17"/>
  <c r="I59" i="17"/>
  <c r="AG57" i="17"/>
  <c r="AB51" i="17"/>
  <c r="MN57" i="17"/>
  <c r="O57" i="17" s="1"/>
  <c r="O56" i="17"/>
  <c r="NO52" i="17"/>
  <c r="ND52" i="17"/>
  <c r="AA53" i="17"/>
  <c r="MM58" i="17"/>
  <c r="N58" i="17" s="1"/>
  <c r="Z60" i="17"/>
  <c r="MJ60" i="17"/>
  <c r="J60" i="17"/>
  <c r="P56" i="17"/>
  <c r="MS56" i="17"/>
  <c r="V56" i="17" s="1"/>
  <c r="NU59" i="17"/>
  <c r="ND51" i="17"/>
  <c r="NO51" i="17"/>
  <c r="NN53" i="17"/>
  <c r="NV57" i="17"/>
  <c r="K59" i="17"/>
  <c r="MK59" i="17"/>
  <c r="L59" i="17" s="1"/>
  <c r="MQ58" i="17"/>
  <c r="LI54" i="17"/>
  <c r="LR54" i="17"/>
  <c r="MX54" i="17"/>
  <c r="MY54" i="17" s="1"/>
  <c r="NA54" i="17" s="1"/>
  <c r="NB54" i="17" s="1"/>
  <c r="NM55" i="17"/>
  <c r="MT55" i="17"/>
  <c r="MW55" i="17" s="1"/>
  <c r="X51" i="17" l="1"/>
  <c r="S51" i="17" s="1"/>
  <c r="LK54" i="17"/>
  <c r="LO54" i="17" s="1"/>
  <c r="JN58" i="17"/>
  <c r="GS57" i="17"/>
  <c r="GT57" i="17" s="1"/>
  <c r="GV57" i="17" s="1"/>
  <c r="LJ54" i="17"/>
  <c r="HJ56" i="17"/>
  <c r="LF55" i="17"/>
  <c r="LR55" i="17" s="1"/>
  <c r="LG55" i="17"/>
  <c r="LC56" i="17"/>
  <c r="LE56" i="17" s="1"/>
  <c r="LH56" i="17" s="1"/>
  <c r="NR58" i="17"/>
  <c r="LN57" i="17"/>
  <c r="JM54" i="17"/>
  <c r="HK53" i="17"/>
  <c r="NP50" i="17"/>
  <c r="NT58" i="17"/>
  <c r="NQ58" i="17"/>
  <c r="KV58" i="17"/>
  <c r="KW58" i="17" s="1"/>
  <c r="KX58" i="17" s="1"/>
  <c r="KZ58" i="17" s="1"/>
  <c r="LA58" i="17" s="1"/>
  <c r="LP58" i="17"/>
  <c r="NK50" i="17"/>
  <c r="AF50" i="17"/>
  <c r="AH50" i="17" s="1"/>
  <c r="AR50" i="17" s="1"/>
  <c r="R49" i="17"/>
  <c r="W49" i="17"/>
  <c r="NJ50" i="17"/>
  <c r="LJ53" i="17"/>
  <c r="NS50" i="17"/>
  <c r="HC54" i="17"/>
  <c r="HG54" i="17" s="1"/>
  <c r="HF53" i="17"/>
  <c r="HD54" i="17"/>
  <c r="NF52" i="17"/>
  <c r="AD52" i="17" s="1"/>
  <c r="Q52" i="17" s="1"/>
  <c r="NF51" i="17"/>
  <c r="NG51" i="17" s="1"/>
  <c r="AE51" i="17" s="1"/>
  <c r="HE54" i="17"/>
  <c r="HN54" i="17"/>
  <c r="HA56" i="17"/>
  <c r="HD56" i="17" s="1"/>
  <c r="HN53" i="17"/>
  <c r="GW55" i="17"/>
  <c r="GY55" i="17" s="1"/>
  <c r="IT58" i="17"/>
  <c r="IU58" i="17" s="1"/>
  <c r="IV58" i="17" s="1"/>
  <c r="IX58" i="17" s="1"/>
  <c r="H59" i="17"/>
  <c r="Y59" i="17" s="1"/>
  <c r="T59" i="17" s="1"/>
  <c r="IR59" i="17"/>
  <c r="LM57" i="17"/>
  <c r="JP54" i="17"/>
  <c r="IY56" i="17"/>
  <c r="JA56" i="17" s="1"/>
  <c r="JC56" i="17" s="1"/>
  <c r="JL56" i="17"/>
  <c r="JH54" i="17"/>
  <c r="JA55" i="17"/>
  <c r="JC55" i="17" s="1"/>
  <c r="JL55" i="17"/>
  <c r="JK57" i="17"/>
  <c r="GR58" i="17"/>
  <c r="KT59" i="17"/>
  <c r="F60" i="17"/>
  <c r="I60" i="17"/>
  <c r="GP59" i="17"/>
  <c r="GR59" i="17" s="1"/>
  <c r="U52" i="17"/>
  <c r="S52" i="17"/>
  <c r="MU59" i="17"/>
  <c r="AG58" i="17"/>
  <c r="MO57" i="17"/>
  <c r="P57" i="17" s="1"/>
  <c r="AB53" i="17"/>
  <c r="X53" i="17" s="1"/>
  <c r="ND53" i="17"/>
  <c r="MM59" i="17"/>
  <c r="N59" i="17" s="1"/>
  <c r="NO53" i="17"/>
  <c r="AA54" i="17"/>
  <c r="MN58" i="17"/>
  <c r="MO58" i="17" s="1"/>
  <c r="MQ59" i="17"/>
  <c r="MX55" i="17"/>
  <c r="MY55" i="17" s="1"/>
  <c r="NA55" i="17" s="1"/>
  <c r="NB55" i="17" s="1"/>
  <c r="K60" i="17"/>
  <c r="MK60" i="17"/>
  <c r="L60" i="17" s="1"/>
  <c r="NV58" i="17"/>
  <c r="Z61" i="17"/>
  <c r="MJ61" i="17"/>
  <c r="J61" i="17"/>
  <c r="NU60" i="17"/>
  <c r="NN54" i="17"/>
  <c r="NM56" i="17"/>
  <c r="MT56" i="17"/>
  <c r="MW56" i="17" s="1"/>
  <c r="U51" i="17" l="1"/>
  <c r="LK55" i="17"/>
  <c r="LO55" i="17" s="1"/>
  <c r="JN59" i="17"/>
  <c r="GW57" i="17"/>
  <c r="GY57" i="17" s="1"/>
  <c r="HA57" i="17" s="1"/>
  <c r="HB57" i="17" s="1"/>
  <c r="HN57" i="17" s="1"/>
  <c r="HI57" i="17"/>
  <c r="LI55" i="17"/>
  <c r="LG56" i="17"/>
  <c r="LJ55" i="17"/>
  <c r="LF56" i="17"/>
  <c r="LR56" i="17" s="1"/>
  <c r="LC57" i="17"/>
  <c r="LE57" i="17" s="1"/>
  <c r="LG57" i="17" s="1"/>
  <c r="LK57" i="17" s="1"/>
  <c r="NR59" i="17"/>
  <c r="LC58" i="17"/>
  <c r="LO53" i="17"/>
  <c r="NQ59" i="17"/>
  <c r="NT59" i="17"/>
  <c r="KV59" i="17"/>
  <c r="KW59" i="17" s="1"/>
  <c r="KX59" i="17" s="1"/>
  <c r="KZ59" i="17" s="1"/>
  <c r="LA59" i="17" s="1"/>
  <c r="LP59" i="17"/>
  <c r="W50" i="17"/>
  <c r="R50" i="17"/>
  <c r="NH52" i="17"/>
  <c r="NL52" i="17" s="1"/>
  <c r="HF54" i="17"/>
  <c r="NG52" i="17"/>
  <c r="AE52" i="17" s="1"/>
  <c r="NI51" i="17"/>
  <c r="NH51" i="17"/>
  <c r="NL51" i="17" s="1"/>
  <c r="NF53" i="17"/>
  <c r="NI53" i="17" s="1"/>
  <c r="AD51" i="17"/>
  <c r="Q51" i="17" s="1"/>
  <c r="NI52" i="17"/>
  <c r="HB56" i="17"/>
  <c r="HE56" i="17" s="1"/>
  <c r="HC56" i="17"/>
  <c r="HG56" i="17" s="1"/>
  <c r="HA55" i="17"/>
  <c r="HD55" i="17" s="1"/>
  <c r="H60" i="17"/>
  <c r="Y60" i="17" s="1"/>
  <c r="T60" i="17" s="1"/>
  <c r="IR60" i="17"/>
  <c r="LM58" i="17"/>
  <c r="GS58" i="17"/>
  <c r="GT58" i="17" s="1"/>
  <c r="GV58" i="17" s="1"/>
  <c r="GS59" i="17"/>
  <c r="GT59" i="17" s="1"/>
  <c r="GV59" i="17" s="1"/>
  <c r="IY58" i="17"/>
  <c r="JF56" i="17"/>
  <c r="JD56" i="17"/>
  <c r="JP56" i="17" s="1"/>
  <c r="JE56" i="17"/>
  <c r="JI56" i="17" s="1"/>
  <c r="IY57" i="17"/>
  <c r="JA57" i="17" s="1"/>
  <c r="JC57" i="17" s="1"/>
  <c r="JE57" i="17" s="1"/>
  <c r="JI57" i="17" s="1"/>
  <c r="JE55" i="17"/>
  <c r="JI55" i="17" s="1"/>
  <c r="JD55" i="17"/>
  <c r="JG55" i="17" s="1"/>
  <c r="JF55" i="17"/>
  <c r="JL57" i="17"/>
  <c r="JK58" i="17"/>
  <c r="IT59" i="17"/>
  <c r="KT60" i="17"/>
  <c r="LP60" i="17" s="1"/>
  <c r="MU60" i="17"/>
  <c r="HL59" i="17"/>
  <c r="GP60" i="17"/>
  <c r="GR60" i="17" s="1"/>
  <c r="F61" i="17"/>
  <c r="I61" i="17"/>
  <c r="U53" i="17"/>
  <c r="S53" i="17"/>
  <c r="MS57" i="17"/>
  <c r="V57" i="17" s="1"/>
  <c r="AA55" i="17"/>
  <c r="AB54" i="17"/>
  <c r="X54" i="17" s="1"/>
  <c r="MN59" i="17"/>
  <c r="MO59" i="17" s="1"/>
  <c r="MQ60" i="17"/>
  <c r="O58" i="17"/>
  <c r="NV59" i="17"/>
  <c r="AG59" i="17"/>
  <c r="ND54" i="17"/>
  <c r="NO54" i="17"/>
  <c r="MM60" i="17"/>
  <c r="MN60" i="17" s="1"/>
  <c r="MX56" i="17"/>
  <c r="MY56" i="17" s="1"/>
  <c r="NA56" i="17" s="1"/>
  <c r="NB56" i="17" s="1"/>
  <c r="MS58" i="17"/>
  <c r="V58" i="17" s="1"/>
  <c r="P58" i="17"/>
  <c r="NN55" i="17"/>
  <c r="Z62" i="17"/>
  <c r="MJ62" i="17"/>
  <c r="J62" i="17"/>
  <c r="NU61" i="17"/>
  <c r="NS51" i="17"/>
  <c r="NJ51" i="17"/>
  <c r="K61" i="17"/>
  <c r="MK61" i="17"/>
  <c r="L61" i="17" s="1"/>
  <c r="LJ56" i="17" l="1"/>
  <c r="LK56" i="17"/>
  <c r="LO56" i="17" s="1"/>
  <c r="HJ57" i="17"/>
  <c r="LI56" i="17"/>
  <c r="NR60" i="17"/>
  <c r="LC59" i="17"/>
  <c r="LN58" i="17"/>
  <c r="JM56" i="17"/>
  <c r="JM57" i="17"/>
  <c r="HI59" i="17"/>
  <c r="HI58" i="17"/>
  <c r="HF56" i="17"/>
  <c r="HK56" i="17"/>
  <c r="HK54" i="17"/>
  <c r="NP51" i="17"/>
  <c r="NP52" i="17"/>
  <c r="NT60" i="17"/>
  <c r="NQ60" i="17"/>
  <c r="IT60" i="17"/>
  <c r="IU60" i="17" s="1"/>
  <c r="IV60" i="17" s="1"/>
  <c r="IX60" i="17" s="1"/>
  <c r="JN60" i="17"/>
  <c r="NK52" i="17"/>
  <c r="NJ52" i="17"/>
  <c r="AF52" i="17"/>
  <c r="W52" i="17" s="1"/>
  <c r="LH57" i="17"/>
  <c r="LF57" i="17"/>
  <c r="LI57" i="17" s="1"/>
  <c r="NS52" i="17"/>
  <c r="NK51" i="17"/>
  <c r="HN56" i="17"/>
  <c r="HC55" i="17"/>
  <c r="HG55" i="17" s="1"/>
  <c r="AF51" i="17"/>
  <c r="R51" i="17" s="1"/>
  <c r="HB55" i="17"/>
  <c r="HE55" i="17" s="1"/>
  <c r="NG53" i="17"/>
  <c r="AE53" i="17" s="1"/>
  <c r="NH53" i="17"/>
  <c r="NL53" i="17" s="1"/>
  <c r="AD53" i="17"/>
  <c r="Q53" i="17" s="1"/>
  <c r="NF54" i="17"/>
  <c r="AD54" i="17" s="1"/>
  <c r="Q54" i="17" s="1"/>
  <c r="LO57" i="17"/>
  <c r="LJ57" i="17"/>
  <c r="LE58" i="17"/>
  <c r="LH58" i="17" s="1"/>
  <c r="HC57" i="17"/>
  <c r="HG57" i="17" s="1"/>
  <c r="HD57" i="17"/>
  <c r="H61" i="17"/>
  <c r="Y61" i="17" s="1"/>
  <c r="T61" i="17" s="1"/>
  <c r="IR61" i="17"/>
  <c r="HJ58" i="17"/>
  <c r="LM59" i="17"/>
  <c r="GS60" i="17"/>
  <c r="GT60" i="17" s="1"/>
  <c r="GV60" i="17" s="1"/>
  <c r="GW59" i="17"/>
  <c r="GY59" i="17" s="1"/>
  <c r="HA59" i="17" s="1"/>
  <c r="JG56" i="17"/>
  <c r="JH55" i="17"/>
  <c r="JP55" i="17"/>
  <c r="JL58" i="17"/>
  <c r="JH56" i="17"/>
  <c r="JA58" i="17"/>
  <c r="JC58" i="17" s="1"/>
  <c r="JD57" i="17"/>
  <c r="JG57" i="17" s="1"/>
  <c r="JF57" i="17"/>
  <c r="JH57" i="17"/>
  <c r="IU59" i="17"/>
  <c r="IV59" i="17" s="1"/>
  <c r="IX59" i="17" s="1"/>
  <c r="MU61" i="17"/>
  <c r="KV60" i="17"/>
  <c r="GP61" i="17"/>
  <c r="GR61" i="17" s="1"/>
  <c r="HL60" i="17"/>
  <c r="NM57" i="17"/>
  <c r="F62" i="17"/>
  <c r="I62" i="17"/>
  <c r="KT61" i="17"/>
  <c r="LP61" i="17" s="1"/>
  <c r="U54" i="17"/>
  <c r="S54" i="17"/>
  <c r="MT57" i="17"/>
  <c r="MW57" i="17" s="1"/>
  <c r="AG60" i="17"/>
  <c r="AA56" i="17"/>
  <c r="HE57" i="17"/>
  <c r="AB55" i="17"/>
  <c r="O59" i="17"/>
  <c r="NV60" i="17"/>
  <c r="MM61" i="17"/>
  <c r="N61" i="17" s="1"/>
  <c r="MQ61" i="17"/>
  <c r="N60" i="17"/>
  <c r="NN56" i="17"/>
  <c r="MS59" i="17"/>
  <c r="V59" i="17" s="1"/>
  <c r="P59" i="17"/>
  <c r="K62" i="17"/>
  <c r="MK62" i="17"/>
  <c r="L62" i="17" s="1"/>
  <c r="Z63" i="17"/>
  <c r="MJ63" i="17"/>
  <c r="J63" i="17"/>
  <c r="NU62" i="17"/>
  <c r="NM58" i="17"/>
  <c r="MT58" i="17"/>
  <c r="MW58" i="17" s="1"/>
  <c r="NO55" i="17"/>
  <c r="ND55" i="17"/>
  <c r="O60" i="17"/>
  <c r="MO60" i="17"/>
  <c r="X55" i="17" l="1"/>
  <c r="U55" i="17" s="1"/>
  <c r="LN59" i="17"/>
  <c r="NR61" i="17"/>
  <c r="JM55" i="17"/>
  <c r="HI60" i="17"/>
  <c r="HF57" i="17"/>
  <c r="HK57" i="17"/>
  <c r="NP53" i="17"/>
  <c r="NT61" i="17"/>
  <c r="NQ61" i="17"/>
  <c r="IT61" i="17"/>
  <c r="IU61" i="17" s="1"/>
  <c r="IV61" i="17" s="1"/>
  <c r="IX61" i="17" s="1"/>
  <c r="JN61" i="17"/>
  <c r="AH52" i="17"/>
  <c r="AR52" i="17" s="1"/>
  <c r="NG54" i="17"/>
  <c r="AE54" i="17" s="1"/>
  <c r="NH54" i="17"/>
  <c r="NL54" i="17" s="1"/>
  <c r="KG3" i="17"/>
  <c r="R52" i="17"/>
  <c r="LR57" i="17"/>
  <c r="LF58" i="17"/>
  <c r="LI58" i="17" s="1"/>
  <c r="GD3" i="17"/>
  <c r="NI54" i="17"/>
  <c r="HN55" i="17"/>
  <c r="W51" i="17"/>
  <c r="AH51" i="17"/>
  <c r="AR51" i="17" s="1"/>
  <c r="HK55" i="17"/>
  <c r="HF55" i="17"/>
  <c r="NJ53" i="17"/>
  <c r="NS53" i="17"/>
  <c r="AF53" i="17"/>
  <c r="W53" i="17" s="1"/>
  <c r="NK53" i="17"/>
  <c r="NF55" i="17"/>
  <c r="AD55" i="17" s="1"/>
  <c r="Q55" i="17" s="1"/>
  <c r="LG58" i="17"/>
  <c r="LK58" i="17" s="1"/>
  <c r="LE59" i="17"/>
  <c r="LH59" i="17" s="1"/>
  <c r="H62" i="17"/>
  <c r="Y62" i="17" s="1"/>
  <c r="T62" i="17" s="1"/>
  <c r="IR62" i="17"/>
  <c r="GW58" i="17"/>
  <c r="GY58" i="17" s="1"/>
  <c r="GW60" i="17"/>
  <c r="GY60" i="17" s="1"/>
  <c r="MX57" i="17"/>
  <c r="MY57" i="17" s="1"/>
  <c r="NA57" i="17" s="1"/>
  <c r="NB57" i="17" s="1"/>
  <c r="KW60" i="17"/>
  <c r="KX60" i="17" s="1"/>
  <c r="KZ60" i="17" s="1"/>
  <c r="LA60" i="17" s="1"/>
  <c r="HJ59" i="17"/>
  <c r="GS61" i="17"/>
  <c r="GT61" i="17" s="1"/>
  <c r="GV61" i="17" s="1"/>
  <c r="JL60" i="17"/>
  <c r="IY59" i="17"/>
  <c r="JE58" i="17"/>
  <c r="JI58" i="17" s="1"/>
  <c r="JF58" i="17"/>
  <c r="JD58" i="17"/>
  <c r="JG58" i="17" s="1"/>
  <c r="JP57" i="17"/>
  <c r="IE3" i="17"/>
  <c r="JK59" i="17"/>
  <c r="JK60" i="17"/>
  <c r="KV61" i="17"/>
  <c r="HL61" i="17"/>
  <c r="MU62" i="17"/>
  <c r="GP62" i="17"/>
  <c r="GR62" i="17" s="1"/>
  <c r="F63" i="17"/>
  <c r="I63" i="17"/>
  <c r="KT62" i="17"/>
  <c r="NV61" i="17"/>
  <c r="AB56" i="17"/>
  <c r="MN61" i="17"/>
  <c r="O61" i="17" s="1"/>
  <c r="AG61" i="17"/>
  <c r="MM62" i="17"/>
  <c r="N62" i="17" s="1"/>
  <c r="MQ62" i="17"/>
  <c r="HD59" i="17"/>
  <c r="HB59" i="17"/>
  <c r="HC59" i="17"/>
  <c r="HG59" i="17" s="1"/>
  <c r="NU63" i="17"/>
  <c r="NM59" i="17"/>
  <c r="MT59" i="17"/>
  <c r="MW59" i="17" s="1"/>
  <c r="NO56" i="17"/>
  <c r="ND56" i="17"/>
  <c r="Z64" i="17"/>
  <c r="J64" i="17"/>
  <c r="MJ64" i="17"/>
  <c r="MX58" i="17"/>
  <c r="MY58" i="17" s="1"/>
  <c r="NA58" i="17" s="1"/>
  <c r="NB58" i="17" s="1"/>
  <c r="K63" i="17"/>
  <c r="MK63" i="17"/>
  <c r="L63" i="17" s="1"/>
  <c r="P60" i="17"/>
  <c r="MS60" i="17"/>
  <c r="V60" i="17" s="1"/>
  <c r="S55" i="17" l="1"/>
  <c r="X56" i="17"/>
  <c r="U56" i="17" s="1"/>
  <c r="AF54" i="17"/>
  <c r="W54" i="17" s="1"/>
  <c r="NS54" i="17"/>
  <c r="NR62" i="17"/>
  <c r="LM60" i="17"/>
  <c r="HI61" i="17"/>
  <c r="HK59" i="17"/>
  <c r="NP54" i="17"/>
  <c r="AB57" i="17"/>
  <c r="KV62" i="17"/>
  <c r="KW62" i="17" s="1"/>
  <c r="KX62" i="17" s="1"/>
  <c r="KZ62" i="17" s="1"/>
  <c r="LA62" i="17" s="1"/>
  <c r="LP62" i="17"/>
  <c r="NT62" i="17"/>
  <c r="NQ62" i="17"/>
  <c r="IT62" i="17"/>
  <c r="IU62" i="17" s="1"/>
  <c r="IV62" i="17" s="1"/>
  <c r="IX62" i="17" s="1"/>
  <c r="JN62" i="17"/>
  <c r="NJ54" i="17"/>
  <c r="NK54" i="17"/>
  <c r="NG55" i="17"/>
  <c r="AE55" i="17" s="1"/>
  <c r="LR58" i="17"/>
  <c r="LG59" i="17"/>
  <c r="LK59" i="17" s="1"/>
  <c r="NH55" i="17"/>
  <c r="NL55" i="17" s="1"/>
  <c r="NI55" i="17"/>
  <c r="R53" i="17"/>
  <c r="AH53" i="17"/>
  <c r="AR53" i="17" s="1"/>
  <c r="LF59" i="17"/>
  <c r="LR59" i="17" s="1"/>
  <c r="NF56" i="17"/>
  <c r="AD56" i="17" s="1"/>
  <c r="Q56" i="17" s="1"/>
  <c r="LO58" i="17"/>
  <c r="LJ58" i="17"/>
  <c r="HA60" i="17"/>
  <c r="HC60" i="17" s="1"/>
  <c r="HG60" i="17" s="1"/>
  <c r="HA58" i="17"/>
  <c r="HB58" i="17" s="1"/>
  <c r="H63" i="17"/>
  <c r="Y63" i="17" s="1"/>
  <c r="T63" i="17" s="1"/>
  <c r="IR63" i="17"/>
  <c r="NN57" i="17"/>
  <c r="LC60" i="17"/>
  <c r="HJ60" i="17"/>
  <c r="AA57" i="17"/>
  <c r="HJ61" i="17"/>
  <c r="KW61" i="17"/>
  <c r="KX61" i="17" s="1"/>
  <c r="KZ61" i="17" s="1"/>
  <c r="LA61" i="17" s="1"/>
  <c r="GS62" i="17"/>
  <c r="GT62" i="17" s="1"/>
  <c r="GV62" i="17" s="1"/>
  <c r="JH58" i="17"/>
  <c r="IY60" i="17"/>
  <c r="JA60" i="17" s="1"/>
  <c r="JC60" i="17" s="1"/>
  <c r="JF60" i="17" s="1"/>
  <c r="JL61" i="17"/>
  <c r="JP58" i="17"/>
  <c r="JA59" i="17"/>
  <c r="JC59" i="17" s="1"/>
  <c r="JL59" i="17"/>
  <c r="JK61" i="17"/>
  <c r="GP63" i="17"/>
  <c r="HL63" i="17" s="1"/>
  <c r="HL62" i="17"/>
  <c r="KT63" i="17"/>
  <c r="MU63" i="17"/>
  <c r="F64" i="17"/>
  <c r="I64" i="17"/>
  <c r="AA58" i="17"/>
  <c r="MO61" i="17"/>
  <c r="P61" i="17" s="1"/>
  <c r="MN62" i="17"/>
  <c r="MO62" i="17" s="1"/>
  <c r="NV62" i="17"/>
  <c r="AG62" i="17"/>
  <c r="Z65" i="17"/>
  <c r="MJ65" i="17"/>
  <c r="J65" i="17"/>
  <c r="NU64" i="17"/>
  <c r="NM60" i="17"/>
  <c r="MT60" i="17"/>
  <c r="MW60" i="17" s="1"/>
  <c r="MQ63" i="17"/>
  <c r="K64" i="17"/>
  <c r="MK64" i="17"/>
  <c r="L64" i="17" s="1"/>
  <c r="MX59" i="17"/>
  <c r="MY59" i="17" s="1"/>
  <c r="NA59" i="17" s="1"/>
  <c r="NB59" i="17" s="1"/>
  <c r="HF59" i="17"/>
  <c r="MM63" i="17"/>
  <c r="NN58" i="17"/>
  <c r="HE59" i="17"/>
  <c r="HN59" i="17"/>
  <c r="S56" i="17" l="1"/>
  <c r="X57" i="17"/>
  <c r="U57" i="17" s="1"/>
  <c r="JN63" i="17"/>
  <c r="JM58" i="17"/>
  <c r="AH54" i="17"/>
  <c r="AR54" i="17" s="1"/>
  <c r="R54" i="17"/>
  <c r="NR63" i="17"/>
  <c r="LM61" i="17"/>
  <c r="LM62" i="17"/>
  <c r="HJ62" i="17"/>
  <c r="NP55" i="17"/>
  <c r="NO57" i="17"/>
  <c r="ND57" i="17"/>
  <c r="NF57" i="17" s="1"/>
  <c r="NI57" i="17" s="1"/>
  <c r="NQ63" i="17"/>
  <c r="NT63" i="17"/>
  <c r="KV63" i="17"/>
  <c r="KW63" i="17" s="1"/>
  <c r="KX63" i="17" s="1"/>
  <c r="KZ63" i="17" s="1"/>
  <c r="LA63" i="17" s="1"/>
  <c r="LP63" i="17"/>
  <c r="NS55" i="17"/>
  <c r="NJ55" i="17"/>
  <c r="NG56" i="17"/>
  <c r="AE56" i="17" s="1"/>
  <c r="LJ59" i="17"/>
  <c r="LI59" i="17"/>
  <c r="NI56" i="17"/>
  <c r="NK55" i="17"/>
  <c r="NH56" i="17"/>
  <c r="NL56" i="17" s="1"/>
  <c r="AF55" i="17"/>
  <c r="R55" i="17" s="1"/>
  <c r="HC58" i="17"/>
  <c r="HG58" i="17" s="1"/>
  <c r="HD60" i="17"/>
  <c r="LE60" i="17"/>
  <c r="LF60" i="17" s="1"/>
  <c r="HE58" i="17"/>
  <c r="HN58" i="17"/>
  <c r="HK60" i="17"/>
  <c r="HF60" i="17"/>
  <c r="HB60" i="17"/>
  <c r="HN60" i="17" s="1"/>
  <c r="HD58" i="17"/>
  <c r="H64" i="17"/>
  <c r="Y64" i="17" s="1"/>
  <c r="T64" i="17" s="1"/>
  <c r="IR64" i="17"/>
  <c r="LN60" i="17"/>
  <c r="LC62" i="17"/>
  <c r="GW61" i="17"/>
  <c r="GY61" i="17" s="1"/>
  <c r="HI62" i="17"/>
  <c r="LN61" i="17"/>
  <c r="IY61" i="17"/>
  <c r="JA61" i="17" s="1"/>
  <c r="JC61" i="17" s="1"/>
  <c r="JF59" i="17"/>
  <c r="JD59" i="17"/>
  <c r="JG59" i="17" s="1"/>
  <c r="JE59" i="17"/>
  <c r="JI59" i="17" s="1"/>
  <c r="JE60" i="17"/>
  <c r="JI60" i="17" s="1"/>
  <c r="JD60" i="17"/>
  <c r="JP60" i="17" s="1"/>
  <c r="JK62" i="17"/>
  <c r="GR63" i="17"/>
  <c r="IT63" i="17"/>
  <c r="KT64" i="17"/>
  <c r="MU64" i="17"/>
  <c r="GP64" i="17"/>
  <c r="GR64" i="17" s="1"/>
  <c r="F65" i="17"/>
  <c r="I65" i="17"/>
  <c r="AB58" i="17"/>
  <c r="AG63" i="17"/>
  <c r="MS61" i="17"/>
  <c r="O62" i="17"/>
  <c r="ND58" i="17"/>
  <c r="NO58" i="17"/>
  <c r="AA59" i="17"/>
  <c r="Z66" i="17"/>
  <c r="MJ66" i="17"/>
  <c r="J66" i="17"/>
  <c r="N63" i="17"/>
  <c r="MN63" i="17"/>
  <c r="MQ64" i="17"/>
  <c r="P62" i="17"/>
  <c r="MS62" i="17"/>
  <c r="V62" i="17" s="1"/>
  <c r="NN59" i="17"/>
  <c r="NU65" i="17"/>
  <c r="MM64" i="17"/>
  <c r="NV63" i="17"/>
  <c r="MX60" i="17"/>
  <c r="MY60" i="17" s="1"/>
  <c r="NA60" i="17" s="1"/>
  <c r="NB60" i="17" s="1"/>
  <c r="K65" i="17"/>
  <c r="MK65" i="17"/>
  <c r="L65" i="17" s="1"/>
  <c r="S57" i="17" l="1"/>
  <c r="X58" i="17"/>
  <c r="U58" i="17" s="1"/>
  <c r="JN64" i="17"/>
  <c r="LO59" i="17"/>
  <c r="GW62" i="17"/>
  <c r="GY62" i="17" s="1"/>
  <c r="HA62" i="17" s="1"/>
  <c r="HD62" i="17" s="1"/>
  <c r="NR64" i="17"/>
  <c r="LN63" i="17"/>
  <c r="JM60" i="17"/>
  <c r="HF58" i="17"/>
  <c r="NP56" i="17"/>
  <c r="NG57" i="17"/>
  <c r="AE57" i="17" s="1"/>
  <c r="NT64" i="17"/>
  <c r="NQ64" i="17"/>
  <c r="KV64" i="17"/>
  <c r="KW64" i="17" s="1"/>
  <c r="KX64" i="17" s="1"/>
  <c r="KZ64" i="17" s="1"/>
  <c r="LA64" i="17" s="1"/>
  <c r="LP64" i="17"/>
  <c r="NS56" i="17"/>
  <c r="NJ56" i="17"/>
  <c r="W55" i="17"/>
  <c r="AH55" i="17"/>
  <c r="AR55" i="17" s="1"/>
  <c r="NK56" i="17"/>
  <c r="AF56" i="17"/>
  <c r="AH56" i="17" s="1"/>
  <c r="AR56" i="17" s="1"/>
  <c r="NH57" i="17"/>
  <c r="NL57" i="17" s="1"/>
  <c r="HE60" i="17"/>
  <c r="AD57" i="17"/>
  <c r="Q57" i="17" s="1"/>
  <c r="LH60" i="17"/>
  <c r="NF58" i="17"/>
  <c r="AD58" i="17" s="1"/>
  <c r="Q58" i="17" s="1"/>
  <c r="LR60" i="17"/>
  <c r="LI60" i="17"/>
  <c r="LE62" i="17"/>
  <c r="LH62" i="17" s="1"/>
  <c r="LG60" i="17"/>
  <c r="LK60" i="17" s="1"/>
  <c r="HA61" i="17"/>
  <c r="HC61" i="17" s="1"/>
  <c r="HG61" i="17" s="1"/>
  <c r="LN62" i="17"/>
  <c r="H65" i="17"/>
  <c r="Y65" i="17" s="1"/>
  <c r="T65" i="17" s="1"/>
  <c r="IR65" i="17"/>
  <c r="LC61" i="17"/>
  <c r="LM63" i="17"/>
  <c r="GS64" i="17"/>
  <c r="GT64" i="17" s="1"/>
  <c r="GV64" i="17" s="1"/>
  <c r="GS63" i="17"/>
  <c r="GT63" i="17" s="1"/>
  <c r="GV63" i="17" s="1"/>
  <c r="JF61" i="17"/>
  <c r="JD61" i="17"/>
  <c r="JG61" i="17" s="1"/>
  <c r="JE61" i="17"/>
  <c r="JI61" i="17" s="1"/>
  <c r="JL62" i="17"/>
  <c r="IY62" i="17"/>
  <c r="JA62" i="17" s="1"/>
  <c r="JC62" i="17" s="1"/>
  <c r="JP59" i="17"/>
  <c r="JH59" i="17"/>
  <c r="JH60" i="17"/>
  <c r="JG60" i="17"/>
  <c r="IU63" i="17"/>
  <c r="IV63" i="17" s="1"/>
  <c r="IX63" i="17" s="1"/>
  <c r="KT65" i="17"/>
  <c r="GP65" i="17"/>
  <c r="HL65" i="17" s="1"/>
  <c r="HL64" i="17"/>
  <c r="IT64" i="17"/>
  <c r="MU65" i="17"/>
  <c r="F66" i="17"/>
  <c r="I66" i="17"/>
  <c r="AB59" i="17"/>
  <c r="X59" i="17" s="1"/>
  <c r="NM61" i="17"/>
  <c r="V61" i="17"/>
  <c r="AA60" i="17"/>
  <c r="AG64" i="17"/>
  <c r="MT61" i="17"/>
  <c r="MW61" i="17" s="1"/>
  <c r="ND59" i="17"/>
  <c r="NO59" i="17"/>
  <c r="NN60" i="17"/>
  <c r="NV64" i="17"/>
  <c r="NM62" i="17"/>
  <c r="MT62" i="17"/>
  <c r="MW62" i="17" s="1"/>
  <c r="O63" i="17"/>
  <c r="MO63" i="17"/>
  <c r="MQ65" i="17"/>
  <c r="J67" i="17"/>
  <c r="MJ67" i="17"/>
  <c r="Z67" i="17"/>
  <c r="NU66" i="17"/>
  <c r="N64" i="17"/>
  <c r="MN64" i="17"/>
  <c r="K66" i="17"/>
  <c r="MK66" i="17"/>
  <c r="L66" i="17" s="1"/>
  <c r="MM65" i="17"/>
  <c r="S58" i="17" l="1"/>
  <c r="JN65" i="17"/>
  <c r="JM59" i="17"/>
  <c r="HK58" i="17"/>
  <c r="NS57" i="17"/>
  <c r="LC63" i="17"/>
  <c r="LE63" i="17" s="1"/>
  <c r="LH63" i="17" s="1"/>
  <c r="NR65" i="17"/>
  <c r="LN64" i="17"/>
  <c r="HI63" i="17"/>
  <c r="HJ64" i="17"/>
  <c r="NP57" i="17"/>
  <c r="NJ57" i="17"/>
  <c r="NT65" i="17"/>
  <c r="NQ65" i="17"/>
  <c r="KV65" i="17"/>
  <c r="KW65" i="17" s="1"/>
  <c r="KX65" i="17" s="1"/>
  <c r="KZ65" i="17" s="1"/>
  <c r="LA65" i="17" s="1"/>
  <c r="LP65" i="17"/>
  <c r="MI3" i="17"/>
  <c r="AF57" i="17"/>
  <c r="NK57" i="17"/>
  <c r="HC62" i="17"/>
  <c r="HG62" i="17" s="1"/>
  <c r="R56" i="17"/>
  <c r="LF62" i="17"/>
  <c r="LI62" i="17" s="1"/>
  <c r="W56" i="17"/>
  <c r="IT65" i="17"/>
  <c r="IU65" i="17" s="1"/>
  <c r="IV65" i="17" s="1"/>
  <c r="IX65" i="17" s="1"/>
  <c r="NH58" i="17"/>
  <c r="NL58" i="17" s="1"/>
  <c r="NG58" i="17"/>
  <c r="AE58" i="17" s="1"/>
  <c r="LG62" i="17"/>
  <c r="LK62" i="17" s="1"/>
  <c r="NI58" i="17"/>
  <c r="LJ60" i="17"/>
  <c r="HD61" i="17"/>
  <c r="NF59" i="17"/>
  <c r="AD59" i="17" s="1"/>
  <c r="Q59" i="17" s="1"/>
  <c r="LE61" i="17"/>
  <c r="LH61" i="17" s="1"/>
  <c r="HK61" i="17"/>
  <c r="HF61" i="17"/>
  <c r="HB61" i="17"/>
  <c r="HE61" i="17" s="1"/>
  <c r="HB62" i="17"/>
  <c r="HN62" i="17" s="1"/>
  <c r="H66" i="17"/>
  <c r="Y66" i="17" s="1"/>
  <c r="T66" i="17" s="1"/>
  <c r="IR66" i="17"/>
  <c r="HI64" i="17"/>
  <c r="LM64" i="17"/>
  <c r="MX61" i="17"/>
  <c r="MY61" i="17" s="1"/>
  <c r="NA61" i="17" s="1"/>
  <c r="NB61" i="17" s="1"/>
  <c r="HJ63" i="17"/>
  <c r="IY63" i="17"/>
  <c r="JP61" i="17"/>
  <c r="JH61" i="17"/>
  <c r="JD62" i="17"/>
  <c r="JP62" i="17" s="1"/>
  <c r="JE62" i="17"/>
  <c r="JI62" i="17" s="1"/>
  <c r="JF62" i="17"/>
  <c r="JK63" i="17"/>
  <c r="IU64" i="17"/>
  <c r="IV64" i="17" s="1"/>
  <c r="IX64" i="17" s="1"/>
  <c r="GR65" i="17"/>
  <c r="MU66" i="17"/>
  <c r="F67" i="17"/>
  <c r="I67" i="17"/>
  <c r="GP66" i="17"/>
  <c r="GR66" i="17" s="1"/>
  <c r="U59" i="17"/>
  <c r="S59" i="17"/>
  <c r="KT66" i="17"/>
  <c r="AB60" i="17"/>
  <c r="AG65" i="17"/>
  <c r="NO60" i="17"/>
  <c r="ND60" i="17"/>
  <c r="MM66" i="17"/>
  <c r="J68" i="17"/>
  <c r="Z68" i="17"/>
  <c r="MJ68" i="17"/>
  <c r="MX62" i="17"/>
  <c r="MY62" i="17" s="1"/>
  <c r="NA62" i="17" s="1"/>
  <c r="NB62" i="17" s="1"/>
  <c r="O64" i="17"/>
  <c r="MO64" i="17"/>
  <c r="K67" i="17"/>
  <c r="MK67" i="17"/>
  <c r="L67" i="17" s="1"/>
  <c r="P63" i="17"/>
  <c r="MS63" i="17"/>
  <c r="V63" i="17" s="1"/>
  <c r="N65" i="17"/>
  <c r="MN65" i="17"/>
  <c r="MQ66" i="17"/>
  <c r="NU67" i="17"/>
  <c r="NV65" i="17"/>
  <c r="X60" i="17" l="1"/>
  <c r="U60" i="17" s="1"/>
  <c r="LO60" i="17"/>
  <c r="JM61" i="17"/>
  <c r="R57" i="17"/>
  <c r="W57" i="17"/>
  <c r="LC64" i="17"/>
  <c r="LE64" i="17" s="1"/>
  <c r="LF64" i="17" s="1"/>
  <c r="GW64" i="17"/>
  <c r="GY64" i="17" s="1"/>
  <c r="HA64" i="17" s="1"/>
  <c r="HD64" i="17" s="1"/>
  <c r="NR66" i="17"/>
  <c r="LN65" i="17"/>
  <c r="LO62" i="17"/>
  <c r="NP58" i="17"/>
  <c r="ND61" i="17"/>
  <c r="IT66" i="17"/>
  <c r="IU66" i="17" s="1"/>
  <c r="IV66" i="17" s="1"/>
  <c r="IX66" i="17" s="1"/>
  <c r="JN66" i="17"/>
  <c r="NT66" i="17"/>
  <c r="NQ66" i="17"/>
  <c r="KV66" i="17"/>
  <c r="KW66" i="17" s="1"/>
  <c r="KX66" i="17" s="1"/>
  <c r="KZ66" i="17" s="1"/>
  <c r="LA66" i="17" s="1"/>
  <c r="LP66" i="17"/>
  <c r="LF63" i="17"/>
  <c r="LR63" i="17" s="1"/>
  <c r="AF58" i="17"/>
  <c r="R58" i="17" s="1"/>
  <c r="NK58" i="17"/>
  <c r="HF62" i="17"/>
  <c r="AH57" i="17"/>
  <c r="AR57" i="17" s="1"/>
  <c r="LR62" i="17"/>
  <c r="NS58" i="17"/>
  <c r="NJ58" i="17"/>
  <c r="LG63" i="17"/>
  <c r="LJ62" i="17"/>
  <c r="NH59" i="17"/>
  <c r="NL59" i="17" s="1"/>
  <c r="NI59" i="17"/>
  <c r="NG59" i="17"/>
  <c r="AE59" i="17" s="1"/>
  <c r="NF60" i="17"/>
  <c r="AD60" i="17" s="1"/>
  <c r="Q60" i="17" s="1"/>
  <c r="LG61" i="17"/>
  <c r="LK61" i="17" s="1"/>
  <c r="LF61" i="17"/>
  <c r="LR61" i="17" s="1"/>
  <c r="HN61" i="17"/>
  <c r="HE62" i="17"/>
  <c r="GP67" i="17"/>
  <c r="HL67" i="17" s="1"/>
  <c r="IR67" i="17"/>
  <c r="NN61" i="17"/>
  <c r="LM65" i="17"/>
  <c r="AA61" i="17"/>
  <c r="GW63" i="17"/>
  <c r="GY63" i="17" s="1"/>
  <c r="GS65" i="17"/>
  <c r="GT65" i="17" s="1"/>
  <c r="GV65" i="17" s="1"/>
  <c r="GS66" i="17"/>
  <c r="GT66" i="17" s="1"/>
  <c r="GV66" i="17" s="1"/>
  <c r="IY64" i="17"/>
  <c r="IY65" i="17"/>
  <c r="JG62" i="17"/>
  <c r="JH62" i="17"/>
  <c r="JA63" i="17"/>
  <c r="JC63" i="17" s="1"/>
  <c r="JD63" i="17" s="1"/>
  <c r="JL63" i="17"/>
  <c r="JK65" i="17"/>
  <c r="JK64" i="17"/>
  <c r="H67" i="17"/>
  <c r="Y67" i="17" s="1"/>
  <c r="T67" i="17" s="1"/>
  <c r="MU67" i="17"/>
  <c r="HL66" i="17"/>
  <c r="F68" i="17"/>
  <c r="I68" i="17"/>
  <c r="KT67" i="17"/>
  <c r="LP67" i="17" s="1"/>
  <c r="AG66" i="17"/>
  <c r="AA62" i="17"/>
  <c r="MQ67" i="17"/>
  <c r="MM67" i="17"/>
  <c r="MN67" i="17" s="1"/>
  <c r="O65" i="17"/>
  <c r="MO65" i="17"/>
  <c r="P64" i="17"/>
  <c r="MS64" i="17"/>
  <c r="V64" i="17" s="1"/>
  <c r="NN62" i="17"/>
  <c r="K68" i="17"/>
  <c r="MK68" i="17"/>
  <c r="L68" i="17" s="1"/>
  <c r="MN66" i="17"/>
  <c r="N66" i="17"/>
  <c r="NM63" i="17"/>
  <c r="MT63" i="17"/>
  <c r="MW63" i="17" s="1"/>
  <c r="J69" i="17"/>
  <c r="Z69" i="17"/>
  <c r="MJ69" i="17"/>
  <c r="NV66" i="17"/>
  <c r="NU68" i="17"/>
  <c r="S60" i="17" l="1"/>
  <c r="LJ63" i="17"/>
  <c r="LK63" i="17"/>
  <c r="LO63" i="17" s="1"/>
  <c r="JM62" i="17"/>
  <c r="HK62" i="17"/>
  <c r="LH64" i="17"/>
  <c r="LG64" i="17"/>
  <c r="LC65" i="17"/>
  <c r="LE65" i="17" s="1"/>
  <c r="LH65" i="17" s="1"/>
  <c r="AB61" i="17"/>
  <c r="NR67" i="17"/>
  <c r="LN66" i="17"/>
  <c r="GW66" i="17"/>
  <c r="GY66" i="17" s="1"/>
  <c r="HA66" i="17" s="1"/>
  <c r="HI65" i="17"/>
  <c r="NP59" i="17"/>
  <c r="NO61" i="17"/>
  <c r="IT67" i="17"/>
  <c r="IU67" i="17" s="1"/>
  <c r="IV67" i="17" s="1"/>
  <c r="IX67" i="17" s="1"/>
  <c r="JN67" i="17"/>
  <c r="NQ67" i="17"/>
  <c r="NT67" i="17"/>
  <c r="LI63" i="17"/>
  <c r="NK59" i="17"/>
  <c r="NI60" i="17"/>
  <c r="W58" i="17"/>
  <c r="AH58" i="17"/>
  <c r="AR58" i="17" s="1"/>
  <c r="NS59" i="17"/>
  <c r="NJ59" i="17"/>
  <c r="NH60" i="17"/>
  <c r="NL60" i="17" s="1"/>
  <c r="NG60" i="17"/>
  <c r="AE60" i="17" s="1"/>
  <c r="GR67" i="17"/>
  <c r="HB64" i="17"/>
  <c r="HE64" i="17" s="1"/>
  <c r="LJ61" i="17"/>
  <c r="AF59" i="17"/>
  <c r="W59" i="17" s="1"/>
  <c r="LI61" i="17"/>
  <c r="NF61" i="17"/>
  <c r="AD61" i="17" s="1"/>
  <c r="Q61" i="17" s="1"/>
  <c r="HC64" i="17"/>
  <c r="HG64" i="17" s="1"/>
  <c r="HA63" i="17"/>
  <c r="HC63" i="17" s="1"/>
  <c r="HG63" i="17" s="1"/>
  <c r="KV67" i="17"/>
  <c r="KW67" i="17" s="1"/>
  <c r="KX67" i="17" s="1"/>
  <c r="KZ67" i="17" s="1"/>
  <c r="LA67" i="17" s="1"/>
  <c r="KT68" i="17"/>
  <c r="LP68" i="17" s="1"/>
  <c r="IR68" i="17"/>
  <c r="HJ65" i="17"/>
  <c r="LM66" i="17"/>
  <c r="HI66" i="17"/>
  <c r="IY66" i="17"/>
  <c r="JA65" i="17"/>
  <c r="JC65" i="17" s="1"/>
  <c r="JD65" i="17" s="1"/>
  <c r="JG65" i="17" s="1"/>
  <c r="JA64" i="17"/>
  <c r="JC64" i="17" s="1"/>
  <c r="JE64" i="17" s="1"/>
  <c r="JI64" i="17" s="1"/>
  <c r="JL65" i="17"/>
  <c r="JL64" i="17"/>
  <c r="JK66" i="17"/>
  <c r="JF63" i="17"/>
  <c r="JG63" i="17"/>
  <c r="JP63" i="17"/>
  <c r="JE63" i="17"/>
  <c r="JI63" i="17" s="1"/>
  <c r="MU68" i="17"/>
  <c r="H68" i="17"/>
  <c r="Y68" i="17" s="1"/>
  <c r="T68" i="17" s="1"/>
  <c r="GP68" i="17"/>
  <c r="GR68" i="17" s="1"/>
  <c r="F69" i="17"/>
  <c r="I69" i="17"/>
  <c r="AB62" i="17"/>
  <c r="N67" i="17"/>
  <c r="NV67" i="17"/>
  <c r="AG67" i="17"/>
  <c r="MM68" i="17"/>
  <c r="N68" i="17" s="1"/>
  <c r="NO62" i="17"/>
  <c r="ND62" i="17"/>
  <c r="J70" i="17"/>
  <c r="MJ70" i="17"/>
  <c r="Z70" i="17"/>
  <c r="MX63" i="17"/>
  <c r="MY63" i="17" s="1"/>
  <c r="NA63" i="17" s="1"/>
  <c r="NB63" i="17" s="1"/>
  <c r="LR64" i="17"/>
  <c r="LI64" i="17"/>
  <c r="NM64" i="17"/>
  <c r="MT64" i="17"/>
  <c r="MW64" i="17" s="1"/>
  <c r="P65" i="17"/>
  <c r="MS65" i="17"/>
  <c r="V65" i="17" s="1"/>
  <c r="K69" i="17"/>
  <c r="MK69" i="17"/>
  <c r="L69" i="17" s="1"/>
  <c r="O66" i="17"/>
  <c r="MO66" i="17"/>
  <c r="NU69" i="17"/>
  <c r="MQ68" i="17"/>
  <c r="MO67" i="17"/>
  <c r="O67" i="17"/>
  <c r="X62" i="17" l="1"/>
  <c r="U62" i="17" s="1"/>
  <c r="X61" i="17"/>
  <c r="U61" i="17" s="1"/>
  <c r="LK64" i="17"/>
  <c r="LO64" i="17" s="1"/>
  <c r="JN68" i="17"/>
  <c r="GS67" i="17"/>
  <c r="GT67" i="17" s="1"/>
  <c r="GV67" i="17" s="1"/>
  <c r="LO61" i="17"/>
  <c r="LC66" i="17"/>
  <c r="LE66" i="17" s="1"/>
  <c r="LG66" i="17" s="1"/>
  <c r="LK66" i="17" s="1"/>
  <c r="LG65" i="17"/>
  <c r="LK65" i="17" s="1"/>
  <c r="LF65" i="17"/>
  <c r="LI65" i="17" s="1"/>
  <c r="LJ64" i="17"/>
  <c r="HJ66" i="17"/>
  <c r="NR68" i="17"/>
  <c r="LN67" i="17"/>
  <c r="JM64" i="17"/>
  <c r="NP60" i="17"/>
  <c r="NT68" i="17"/>
  <c r="NQ68" i="17"/>
  <c r="NS60" i="17"/>
  <c r="NK60" i="17"/>
  <c r="AF60" i="17"/>
  <c r="R60" i="17" s="1"/>
  <c r="NJ60" i="17"/>
  <c r="NH61" i="17"/>
  <c r="NL61" i="17" s="1"/>
  <c r="HN64" i="17"/>
  <c r="HB63" i="17"/>
  <c r="HN63" i="17" s="1"/>
  <c r="HD63" i="17"/>
  <c r="NG61" i="17"/>
  <c r="AE61" i="17" s="1"/>
  <c r="R59" i="17"/>
  <c r="AH59" i="17"/>
  <c r="AR59" i="17" s="1"/>
  <c r="NI61" i="17"/>
  <c r="NF62" i="17"/>
  <c r="AD62" i="17" s="1"/>
  <c r="Q62" i="17" s="1"/>
  <c r="HK63" i="17"/>
  <c r="HF63" i="17"/>
  <c r="HK64" i="17"/>
  <c r="HF64" i="17"/>
  <c r="KV68" i="17"/>
  <c r="KW68" i="17" s="1"/>
  <c r="KX68" i="17" s="1"/>
  <c r="KZ68" i="17" s="1"/>
  <c r="LA68" i="17" s="1"/>
  <c r="H69" i="17"/>
  <c r="Y69" i="17" s="1"/>
  <c r="T69" i="17" s="1"/>
  <c r="IR69" i="17"/>
  <c r="GW65" i="17"/>
  <c r="GY65" i="17" s="1"/>
  <c r="LM67" i="17"/>
  <c r="GS68" i="17"/>
  <c r="GT68" i="17" s="1"/>
  <c r="GV68" i="17" s="1"/>
  <c r="JL66" i="17"/>
  <c r="JF65" i="17"/>
  <c r="JH63" i="17"/>
  <c r="JH64" i="17"/>
  <c r="JD64" i="17"/>
  <c r="JP64" i="17" s="1"/>
  <c r="JE65" i="17"/>
  <c r="JI65" i="17" s="1"/>
  <c r="JF64" i="17"/>
  <c r="JA66" i="17"/>
  <c r="JK67" i="17"/>
  <c r="KT69" i="17"/>
  <c r="IT68" i="17"/>
  <c r="MU69" i="17"/>
  <c r="HL68" i="17"/>
  <c r="F70" i="17"/>
  <c r="IR70" i="17" s="1"/>
  <c r="I70" i="17"/>
  <c r="GP69" i="17"/>
  <c r="GR69" i="17" s="1"/>
  <c r="JP65" i="17"/>
  <c r="AA63" i="17"/>
  <c r="AG68" i="17"/>
  <c r="MN68" i="17"/>
  <c r="MO68" i="17" s="1"/>
  <c r="MM69" i="17"/>
  <c r="N69" i="17" s="1"/>
  <c r="MQ69" i="17"/>
  <c r="MX64" i="17"/>
  <c r="MY64" i="17" s="1"/>
  <c r="NA64" i="17" s="1"/>
  <c r="NB64" i="17" s="1"/>
  <c r="K70" i="17"/>
  <c r="MK70" i="17"/>
  <c r="L70" i="17" s="1"/>
  <c r="P67" i="17"/>
  <c r="MS67" i="17"/>
  <c r="V67" i="17" s="1"/>
  <c r="NN63" i="17"/>
  <c r="HB66" i="17"/>
  <c r="HC66" i="17"/>
  <c r="HG66" i="17" s="1"/>
  <c r="HD66" i="17"/>
  <c r="NV68" i="17"/>
  <c r="NM65" i="17"/>
  <c r="MT65" i="17"/>
  <c r="MW65" i="17" s="1"/>
  <c r="J71" i="17"/>
  <c r="MJ71" i="17"/>
  <c r="Z71" i="17"/>
  <c r="MS66" i="17"/>
  <c r="V66" i="17" s="1"/>
  <c r="P66" i="17"/>
  <c r="NU70" i="17"/>
  <c r="S62" i="17" l="1"/>
  <c r="S61" i="17"/>
  <c r="JN70" i="17"/>
  <c r="JN69" i="17"/>
  <c r="GW67" i="17"/>
  <c r="GY67" i="17" s="1"/>
  <c r="HA67" i="17" s="1"/>
  <c r="HD67" i="17" s="1"/>
  <c r="HI67" i="17"/>
  <c r="LO65" i="17"/>
  <c r="JM63" i="17"/>
  <c r="LJ65" i="17"/>
  <c r="LR65" i="17"/>
  <c r="LC67" i="17"/>
  <c r="LE67" i="17" s="1"/>
  <c r="LH67" i="17" s="1"/>
  <c r="NR69" i="17"/>
  <c r="LM68" i="17"/>
  <c r="HK66" i="17"/>
  <c r="GW68" i="17"/>
  <c r="GY68" i="17" s="1"/>
  <c r="HA68" i="17" s="1"/>
  <c r="NP61" i="17"/>
  <c r="W60" i="17"/>
  <c r="NQ69" i="17"/>
  <c r="NT69" i="17"/>
  <c r="KV69" i="17"/>
  <c r="KW69" i="17" s="1"/>
  <c r="KX69" i="17" s="1"/>
  <c r="KZ69" i="17" s="1"/>
  <c r="LA69" i="17" s="1"/>
  <c r="LP69" i="17"/>
  <c r="AF61" i="17"/>
  <c r="AH61" i="17" s="1"/>
  <c r="AR61" i="17" s="1"/>
  <c r="NJ61" i="17"/>
  <c r="NS61" i="17"/>
  <c r="NH62" i="17"/>
  <c r="NL62" i="17" s="1"/>
  <c r="NK61" i="17"/>
  <c r="NG62" i="17"/>
  <c r="AE62" i="17" s="1"/>
  <c r="NI62" i="17"/>
  <c r="AH60" i="17"/>
  <c r="AR60" i="17" s="1"/>
  <c r="LH66" i="17"/>
  <c r="HE63" i="17"/>
  <c r="LF66" i="17"/>
  <c r="LR66" i="17" s="1"/>
  <c r="LO66" i="17"/>
  <c r="LJ66" i="17"/>
  <c r="HA65" i="17"/>
  <c r="HD65" i="17" s="1"/>
  <c r="H70" i="17"/>
  <c r="Y70" i="17" s="1"/>
  <c r="T70" i="17" s="1"/>
  <c r="LN68" i="17"/>
  <c r="HI68" i="17"/>
  <c r="GS69" i="17"/>
  <c r="GT69" i="17" s="1"/>
  <c r="GV69" i="17" s="1"/>
  <c r="JL67" i="17"/>
  <c r="IY67" i="17"/>
  <c r="JA67" i="17" s="1"/>
  <c r="JC67" i="17" s="1"/>
  <c r="JF67" i="17" s="1"/>
  <c r="JG64" i="17"/>
  <c r="JH65" i="17"/>
  <c r="JC66" i="17"/>
  <c r="JF66" i="17" s="1"/>
  <c r="IU68" i="17"/>
  <c r="IV68" i="17" s="1"/>
  <c r="IX68" i="17" s="1"/>
  <c r="KT70" i="17"/>
  <c r="LP70" i="17" s="1"/>
  <c r="MU70" i="17"/>
  <c r="IT69" i="17"/>
  <c r="GP70" i="17"/>
  <c r="GR70" i="17" s="1"/>
  <c r="HL69" i="17"/>
  <c r="F71" i="17"/>
  <c r="I71" i="17"/>
  <c r="AB63" i="17"/>
  <c r="X63" i="17" s="1"/>
  <c r="IT70" i="17"/>
  <c r="O68" i="17"/>
  <c r="AA64" i="17"/>
  <c r="MN69" i="17"/>
  <c r="MO69" i="17" s="1"/>
  <c r="ND63" i="17"/>
  <c r="NV69" i="17"/>
  <c r="AG69" i="17"/>
  <c r="NO63" i="17"/>
  <c r="MM70" i="17"/>
  <c r="N70" i="17" s="1"/>
  <c r="MQ70" i="17"/>
  <c r="HF66" i="17"/>
  <c r="NN64" i="17"/>
  <c r="NU71" i="17"/>
  <c r="P68" i="17"/>
  <c r="MS68" i="17"/>
  <c r="V68" i="17" s="1"/>
  <c r="HN66" i="17"/>
  <c r="HE66" i="17"/>
  <c r="J72" i="17"/>
  <c r="MJ72" i="17"/>
  <c r="Z72" i="17"/>
  <c r="MX65" i="17"/>
  <c r="MY65" i="17" s="1"/>
  <c r="NA65" i="17" s="1"/>
  <c r="NB65" i="17" s="1"/>
  <c r="NM67" i="17"/>
  <c r="MT67" i="17"/>
  <c r="MW67" i="17" s="1"/>
  <c r="NM66" i="17"/>
  <c r="MT66" i="17"/>
  <c r="MW66" i="17" s="1"/>
  <c r="K71" i="17"/>
  <c r="MK71" i="17"/>
  <c r="L71" i="17" s="1"/>
  <c r="U63" i="17" l="1"/>
  <c r="S63" i="17"/>
  <c r="HJ67" i="17"/>
  <c r="JM65" i="17"/>
  <c r="HJ68" i="17"/>
  <c r="LG67" i="17"/>
  <c r="LK67" i="17" s="1"/>
  <c r="LF67" i="17"/>
  <c r="LR67" i="17" s="1"/>
  <c r="NR70" i="17"/>
  <c r="LN69" i="17"/>
  <c r="HJ69" i="17"/>
  <c r="NP62" i="17"/>
  <c r="NQ70" i="17"/>
  <c r="NT70" i="17"/>
  <c r="W61" i="17"/>
  <c r="R61" i="17"/>
  <c r="NK62" i="17"/>
  <c r="NJ62" i="17"/>
  <c r="AF62" i="17"/>
  <c r="AH62" i="17" s="1"/>
  <c r="AR62" i="17" s="1"/>
  <c r="NS62" i="17"/>
  <c r="HC67" i="17"/>
  <c r="HG67" i="17" s="1"/>
  <c r="HB67" i="17"/>
  <c r="HN67" i="17" s="1"/>
  <c r="LI66" i="17"/>
  <c r="HC65" i="17"/>
  <c r="HG65" i="17" s="1"/>
  <c r="NF63" i="17"/>
  <c r="AD63" i="17" s="1"/>
  <c r="Q63" i="17" s="1"/>
  <c r="HB65" i="17"/>
  <c r="KV70" i="17"/>
  <c r="KW70" i="17" s="1"/>
  <c r="KX70" i="17" s="1"/>
  <c r="KZ70" i="17" s="1"/>
  <c r="LA70" i="17" s="1"/>
  <c r="KT71" i="17"/>
  <c r="LP71" i="17" s="1"/>
  <c r="IR71" i="17"/>
  <c r="LC68" i="17"/>
  <c r="LM69" i="17"/>
  <c r="HI69" i="17"/>
  <c r="GS70" i="17"/>
  <c r="GT70" i="17" s="1"/>
  <c r="GV70" i="17" s="1"/>
  <c r="IY68" i="17"/>
  <c r="JD66" i="17"/>
  <c r="JG66" i="17" s="1"/>
  <c r="JE67" i="17"/>
  <c r="JI67" i="17" s="1"/>
  <c r="JE66" i="17"/>
  <c r="JI66" i="17" s="1"/>
  <c r="JD67" i="17"/>
  <c r="JP67" i="17" s="1"/>
  <c r="JK68" i="17"/>
  <c r="IU70" i="17"/>
  <c r="IV70" i="17" s="1"/>
  <c r="IX70" i="17" s="1"/>
  <c r="IU69" i="17"/>
  <c r="IV69" i="17" s="1"/>
  <c r="IX69" i="17" s="1"/>
  <c r="GP71" i="17"/>
  <c r="HL71" i="17" s="1"/>
  <c r="H71" i="17"/>
  <c r="Y71" i="17" s="1"/>
  <c r="T71" i="17" s="1"/>
  <c r="HL70" i="17"/>
  <c r="F72" i="17"/>
  <c r="I72" i="17"/>
  <c r="MU71" i="17"/>
  <c r="AB64" i="17"/>
  <c r="O69" i="17"/>
  <c r="HB68" i="17"/>
  <c r="HD68" i="17"/>
  <c r="HC68" i="17"/>
  <c r="HG68" i="17" s="1"/>
  <c r="MN70" i="17"/>
  <c r="MO70" i="17" s="1"/>
  <c r="NV70" i="17"/>
  <c r="AG70" i="17"/>
  <c r="AA65" i="17"/>
  <c r="NU72" i="17"/>
  <c r="NN65" i="17"/>
  <c r="K72" i="17"/>
  <c r="MK72" i="17"/>
  <c r="L72" i="17" s="1"/>
  <c r="NO64" i="17"/>
  <c r="ND64" i="17"/>
  <c r="MQ71" i="17"/>
  <c r="NM68" i="17"/>
  <c r="MT68" i="17"/>
  <c r="MW68" i="17" s="1"/>
  <c r="P69" i="17"/>
  <c r="MS69" i="17"/>
  <c r="V69" i="17" s="1"/>
  <c r="MM71" i="17"/>
  <c r="MX66" i="17"/>
  <c r="MY66" i="17" s="1"/>
  <c r="NA66" i="17" s="1"/>
  <c r="NB66" i="17" s="1"/>
  <c r="MX67" i="17"/>
  <c r="MY67" i="17" s="1"/>
  <c r="NA67" i="17" s="1"/>
  <c r="NB67" i="17" s="1"/>
  <c r="J73" i="17"/>
  <c r="MJ73" i="17"/>
  <c r="Z73" i="17"/>
  <c r="X64" i="17" l="1"/>
  <c r="U64" i="17" s="1"/>
  <c r="LO67" i="17"/>
  <c r="LJ67" i="17"/>
  <c r="LI67" i="17"/>
  <c r="GW69" i="17"/>
  <c r="GY69" i="17" s="1"/>
  <c r="HA69" i="17" s="1"/>
  <c r="HC69" i="17" s="1"/>
  <c r="HG69" i="17" s="1"/>
  <c r="NR71" i="17"/>
  <c r="LN70" i="17"/>
  <c r="LC69" i="17"/>
  <c r="LE69" i="17" s="1"/>
  <c r="LG69" i="17" s="1"/>
  <c r="LK69" i="17" s="1"/>
  <c r="JM67" i="17"/>
  <c r="HJ70" i="17"/>
  <c r="HF67" i="17"/>
  <c r="HK67" i="17"/>
  <c r="AB67" i="17"/>
  <c r="NQ71" i="17"/>
  <c r="NT71" i="17"/>
  <c r="IT71" i="17"/>
  <c r="IU71" i="17" s="1"/>
  <c r="IV71" i="17" s="1"/>
  <c r="IX71" i="17" s="1"/>
  <c r="JN71" i="17"/>
  <c r="W62" i="17"/>
  <c r="R62" i="17"/>
  <c r="KV71" i="17"/>
  <c r="KW71" i="17" s="1"/>
  <c r="KX71" i="17" s="1"/>
  <c r="KZ71" i="17" s="1"/>
  <c r="LA71" i="17" s="1"/>
  <c r="NH63" i="17"/>
  <c r="NL63" i="17" s="1"/>
  <c r="HE67" i="17"/>
  <c r="HF65" i="17"/>
  <c r="NG63" i="17"/>
  <c r="AE63" i="17" s="1"/>
  <c r="NI63" i="17"/>
  <c r="NF64" i="17"/>
  <c r="AD64" i="17" s="1"/>
  <c r="Q64" i="17" s="1"/>
  <c r="LE68" i="17"/>
  <c r="LF68" i="17" s="1"/>
  <c r="HE65" i="17"/>
  <c r="HN65" i="17"/>
  <c r="GR71" i="17"/>
  <c r="KT72" i="17"/>
  <c r="IR72" i="17"/>
  <c r="LM70" i="17"/>
  <c r="HI70" i="17"/>
  <c r="IY70" i="17"/>
  <c r="JL68" i="17"/>
  <c r="JA68" i="17"/>
  <c r="JP66" i="17"/>
  <c r="JH67" i="17"/>
  <c r="JG67" i="17"/>
  <c r="JH66" i="17"/>
  <c r="JK70" i="17"/>
  <c r="JK69" i="17"/>
  <c r="MU72" i="17"/>
  <c r="GP72" i="17"/>
  <c r="HL72" i="17" s="1"/>
  <c r="H72" i="17"/>
  <c r="Y72" i="17" s="1"/>
  <c r="T72" i="17" s="1"/>
  <c r="F73" i="17"/>
  <c r="I73" i="17"/>
  <c r="AB65" i="17"/>
  <c r="X65" i="17" s="1"/>
  <c r="AG71" i="17"/>
  <c r="HF68" i="17"/>
  <c r="HK68" i="17"/>
  <c r="HN68" i="17"/>
  <c r="HE68" i="17"/>
  <c r="O70" i="17"/>
  <c r="NO65" i="17"/>
  <c r="MM72" i="17"/>
  <c r="N72" i="17" s="1"/>
  <c r="MQ72" i="17"/>
  <c r="AA66" i="17"/>
  <c r="ND65" i="17"/>
  <c r="AA67" i="17"/>
  <c r="J74" i="17"/>
  <c r="Z74" i="17"/>
  <c r="MJ74" i="17"/>
  <c r="NN66" i="17"/>
  <c r="MX68" i="17"/>
  <c r="MY68" i="17" s="1"/>
  <c r="NA68" i="17" s="1"/>
  <c r="NB68" i="17" s="1"/>
  <c r="NU73" i="17"/>
  <c r="N71" i="17"/>
  <c r="MN71" i="17"/>
  <c r="NV71" i="17"/>
  <c r="P70" i="17"/>
  <c r="MS70" i="17"/>
  <c r="V70" i="17" s="1"/>
  <c r="K73" i="17"/>
  <c r="MK73" i="17"/>
  <c r="L73" i="17" s="1"/>
  <c r="NN67" i="17"/>
  <c r="NM69" i="17"/>
  <c r="MT69" i="17"/>
  <c r="MW69" i="17" s="1"/>
  <c r="X67" i="17" l="1"/>
  <c r="S64" i="17"/>
  <c r="GS71" i="17"/>
  <c r="GT71" i="17" s="1"/>
  <c r="GV71" i="17" s="1"/>
  <c r="JM66" i="17"/>
  <c r="HK65" i="17"/>
  <c r="GW70" i="17"/>
  <c r="GY70" i="17" s="1"/>
  <c r="HA70" i="17" s="1"/>
  <c r="HB70" i="17" s="1"/>
  <c r="LF69" i="17"/>
  <c r="LR69" i="17" s="1"/>
  <c r="LH69" i="17"/>
  <c r="LC70" i="17"/>
  <c r="LE70" i="17" s="1"/>
  <c r="LF70" i="17" s="1"/>
  <c r="NR72" i="17"/>
  <c r="LO69" i="17"/>
  <c r="LN71" i="17"/>
  <c r="NP63" i="17"/>
  <c r="KV72" i="17"/>
  <c r="KW72" i="17" s="1"/>
  <c r="KX72" i="17" s="1"/>
  <c r="KZ72" i="17" s="1"/>
  <c r="LA72" i="17" s="1"/>
  <c r="LP72" i="17"/>
  <c r="NT72" i="17"/>
  <c r="NQ72" i="17"/>
  <c r="IT72" i="17"/>
  <c r="IU72" i="17" s="1"/>
  <c r="IV72" i="17" s="1"/>
  <c r="IX72" i="17" s="1"/>
  <c r="JN72" i="17"/>
  <c r="NH64" i="17"/>
  <c r="NL64" i="17" s="1"/>
  <c r="NG64" i="17"/>
  <c r="AE64" i="17" s="1"/>
  <c r="NI64" i="17"/>
  <c r="HB69" i="17"/>
  <c r="HE69" i="17" s="1"/>
  <c r="NK63" i="17"/>
  <c r="AF63" i="17"/>
  <c r="R63" i="17" s="1"/>
  <c r="HD69" i="17"/>
  <c r="NS63" i="17"/>
  <c r="NJ63" i="17"/>
  <c r="NF65" i="17"/>
  <c r="AD65" i="17" s="1"/>
  <c r="Q65" i="17" s="1"/>
  <c r="LI68" i="17"/>
  <c r="LR68" i="17"/>
  <c r="LG68" i="17"/>
  <c r="LK68" i="17" s="1"/>
  <c r="LH68" i="17"/>
  <c r="HK69" i="17"/>
  <c r="HF69" i="17"/>
  <c r="KT73" i="17"/>
  <c r="LP73" i="17" s="1"/>
  <c r="IR73" i="17"/>
  <c r="LM71" i="17"/>
  <c r="IY71" i="17"/>
  <c r="IY69" i="17"/>
  <c r="JA69" i="17" s="1"/>
  <c r="JC69" i="17" s="1"/>
  <c r="JD69" i="17" s="1"/>
  <c r="JP69" i="17" s="1"/>
  <c r="JL69" i="17"/>
  <c r="JA70" i="17"/>
  <c r="JC70" i="17" s="1"/>
  <c r="JL70" i="17"/>
  <c r="JC68" i="17"/>
  <c r="JD68" i="17" s="1"/>
  <c r="JK71" i="17"/>
  <c r="H73" i="17"/>
  <c r="Y73" i="17" s="1"/>
  <c r="T73" i="17" s="1"/>
  <c r="GR72" i="17"/>
  <c r="MU73" i="17"/>
  <c r="GP73" i="17"/>
  <c r="GR73" i="17" s="1"/>
  <c r="U65" i="17"/>
  <c r="S65" i="17"/>
  <c r="F74" i="17"/>
  <c r="IR74" i="17" s="1"/>
  <c r="I74" i="17"/>
  <c r="AB66" i="17"/>
  <c r="X66" i="17" s="1"/>
  <c r="AA68" i="17"/>
  <c r="LJ69" i="17"/>
  <c r="MN72" i="17"/>
  <c r="O72" i="17" s="1"/>
  <c r="MM73" i="17"/>
  <c r="MN73" i="17" s="1"/>
  <c r="NV72" i="17"/>
  <c r="AG72" i="17"/>
  <c r="NO66" i="17"/>
  <c r="ND66" i="17"/>
  <c r="ND67" i="17"/>
  <c r="NO67" i="17"/>
  <c r="NM70" i="17"/>
  <c r="MT70" i="17"/>
  <c r="MW70" i="17" s="1"/>
  <c r="NN68" i="17"/>
  <c r="NU74" i="17"/>
  <c r="MQ73" i="17"/>
  <c r="O71" i="17"/>
  <c r="MO71" i="17"/>
  <c r="MX69" i="17"/>
  <c r="MY69" i="17" s="1"/>
  <c r="NA69" i="17" s="1"/>
  <c r="NB69" i="17" s="1"/>
  <c r="K74" i="17"/>
  <c r="MK74" i="17"/>
  <c r="L74" i="17" s="1"/>
  <c r="NU21" i="17"/>
  <c r="NQ21" i="17"/>
  <c r="JN74" i="17" l="1"/>
  <c r="JN73" i="17"/>
  <c r="HI71" i="17"/>
  <c r="HJ71" i="17"/>
  <c r="LI69" i="17"/>
  <c r="HC70" i="17"/>
  <c r="HG70" i="17" s="1"/>
  <c r="HD70" i="17"/>
  <c r="GW71" i="17"/>
  <c r="GY71" i="17" s="1"/>
  <c r="HA71" i="17" s="1"/>
  <c r="HB71" i="17" s="1"/>
  <c r="LG70" i="17"/>
  <c r="LH70" i="17"/>
  <c r="LC71" i="17"/>
  <c r="LE71" i="17" s="1"/>
  <c r="LF71" i="17" s="1"/>
  <c r="NR73" i="17"/>
  <c r="LC72" i="17"/>
  <c r="LE72" i="17" s="1"/>
  <c r="NP64" i="17"/>
  <c r="NS64" i="17"/>
  <c r="AF64" i="17"/>
  <c r="W64" i="17" s="1"/>
  <c r="NT73" i="17"/>
  <c r="NQ73" i="17"/>
  <c r="NK64" i="17"/>
  <c r="AH63" i="17"/>
  <c r="AR63" i="17" s="1"/>
  <c r="KV73" i="17"/>
  <c r="KW73" i="17" s="1"/>
  <c r="KX73" i="17" s="1"/>
  <c r="KZ73" i="17" s="1"/>
  <c r="LA73" i="17" s="1"/>
  <c r="NJ64" i="17"/>
  <c r="NG65" i="17"/>
  <c r="AE65" i="17" s="1"/>
  <c r="NI65" i="17"/>
  <c r="NH65" i="17"/>
  <c r="NL65" i="17" s="1"/>
  <c r="HN69" i="17"/>
  <c r="W63" i="17"/>
  <c r="NF66" i="17"/>
  <c r="AD66" i="17" s="1"/>
  <c r="Q66" i="17" s="1"/>
  <c r="NF67" i="17"/>
  <c r="NG67" i="17" s="1"/>
  <c r="AE67" i="17" s="1"/>
  <c r="LJ68" i="17"/>
  <c r="LM72" i="17"/>
  <c r="GS72" i="17"/>
  <c r="GT72" i="17" s="1"/>
  <c r="GV72" i="17" s="1"/>
  <c r="GS73" i="17"/>
  <c r="GT73" i="17" s="1"/>
  <c r="GV73" i="17" s="1"/>
  <c r="IY72" i="17"/>
  <c r="JD70" i="17"/>
  <c r="JP70" i="17" s="1"/>
  <c r="JF70" i="17"/>
  <c r="JE70" i="17"/>
  <c r="JI70" i="17" s="1"/>
  <c r="JL71" i="17"/>
  <c r="JA71" i="17"/>
  <c r="JC71" i="17" s="1"/>
  <c r="JF71" i="17" s="1"/>
  <c r="JE69" i="17"/>
  <c r="JI69" i="17" s="1"/>
  <c r="JP68" i="17"/>
  <c r="JG68" i="17"/>
  <c r="JE68" i="17"/>
  <c r="JI68" i="17" s="1"/>
  <c r="JF69" i="17"/>
  <c r="JF68" i="17"/>
  <c r="JK72" i="17"/>
  <c r="JG69" i="17"/>
  <c r="KT74" i="17"/>
  <c r="LP74" i="17" s="1"/>
  <c r="HL73" i="17"/>
  <c r="MU74" i="17"/>
  <c r="IT73" i="17"/>
  <c r="H74" i="17"/>
  <c r="Y74" i="17" s="1"/>
  <c r="T74" i="17" s="1"/>
  <c r="GP74" i="17"/>
  <c r="HL74" i="17" s="1"/>
  <c r="U67" i="17"/>
  <c r="S67" i="17"/>
  <c r="U66" i="17"/>
  <c r="S66" i="17"/>
  <c r="NU12" i="17"/>
  <c r="HP8" i="17" s="1"/>
  <c r="G84" i="17" s="1"/>
  <c r="D84" i="17" s="1"/>
  <c r="NQ12" i="17"/>
  <c r="AB68" i="17"/>
  <c r="IT74" i="17"/>
  <c r="AA69" i="17"/>
  <c r="AG73" i="17"/>
  <c r="N73" i="17"/>
  <c r="MO72" i="17"/>
  <c r="MS72" i="17" s="1"/>
  <c r="V72" i="17" s="1"/>
  <c r="HE70" i="17"/>
  <c r="HN70" i="17"/>
  <c r="LI70" i="17"/>
  <c r="LR70" i="17"/>
  <c r="MM74" i="17"/>
  <c r="N74" i="17" s="1"/>
  <c r="MQ74" i="17"/>
  <c r="NN69" i="17"/>
  <c r="MX70" i="17"/>
  <c r="MY70" i="17" s="1"/>
  <c r="NA70" i="17" s="1"/>
  <c r="NB70" i="17" s="1"/>
  <c r="NV73" i="17"/>
  <c r="NO68" i="17"/>
  <c r="ND68" i="17"/>
  <c r="O73" i="17"/>
  <c r="MO73" i="17"/>
  <c r="P71" i="17"/>
  <c r="MS71" i="17"/>
  <c r="V71" i="17" s="1"/>
  <c r="HL21" i="17"/>
  <c r="JN21" i="17"/>
  <c r="LP21" i="17"/>
  <c r="X68" i="17" l="1"/>
  <c r="U68" i="17" s="1"/>
  <c r="LK70" i="17"/>
  <c r="LO70" i="17" s="1"/>
  <c r="LO68" i="17"/>
  <c r="HK70" i="17"/>
  <c r="HF70" i="17"/>
  <c r="HC71" i="17"/>
  <c r="HG71" i="17" s="1"/>
  <c r="LJ70" i="17"/>
  <c r="HD71" i="17"/>
  <c r="LN72" i="17"/>
  <c r="NR74" i="17"/>
  <c r="LC73" i="17"/>
  <c r="LE73" i="17" s="1"/>
  <c r="JM69" i="17"/>
  <c r="JM70" i="17"/>
  <c r="HJ73" i="17"/>
  <c r="HI72" i="17"/>
  <c r="NP65" i="17"/>
  <c r="KV74" i="17"/>
  <c r="KW74" i="17" s="1"/>
  <c r="KX74" i="17" s="1"/>
  <c r="KZ74" i="17" s="1"/>
  <c r="LA74" i="17" s="1"/>
  <c r="R64" i="17"/>
  <c r="AH64" i="17"/>
  <c r="AR64" i="17" s="1"/>
  <c r="LG71" i="17"/>
  <c r="LK71" i="17" s="1"/>
  <c r="AF65" i="17"/>
  <c r="R65" i="17" s="1"/>
  <c r="NT74" i="17"/>
  <c r="NQ74" i="17"/>
  <c r="NS65" i="17"/>
  <c r="NJ65" i="17"/>
  <c r="NH67" i="17"/>
  <c r="NL67" i="17" s="1"/>
  <c r="NK65" i="17"/>
  <c r="NI67" i="17"/>
  <c r="NG66" i="17"/>
  <c r="AE66" i="17" s="1"/>
  <c r="NH66" i="17"/>
  <c r="NL66" i="17" s="1"/>
  <c r="NI66" i="17"/>
  <c r="AD67" i="17"/>
  <c r="Q67" i="17" s="1"/>
  <c r="NF68" i="17"/>
  <c r="AD68" i="17" s="1"/>
  <c r="Q68" i="17" s="1"/>
  <c r="LR71" i="17"/>
  <c r="LI71" i="17"/>
  <c r="LH71" i="17"/>
  <c r="GW72" i="17"/>
  <c r="GY72" i="17" s="1"/>
  <c r="LM73" i="17"/>
  <c r="HI73" i="17"/>
  <c r="JH70" i="17"/>
  <c r="JE71" i="17"/>
  <c r="JI71" i="17" s="1"/>
  <c r="JG70" i="17"/>
  <c r="JD71" i="17"/>
  <c r="JG71" i="17" s="1"/>
  <c r="JL72" i="17"/>
  <c r="JA72" i="17"/>
  <c r="JC72" i="17" s="1"/>
  <c r="JD72" i="17" s="1"/>
  <c r="JH69" i="17"/>
  <c r="JH68" i="17"/>
  <c r="IU74" i="17"/>
  <c r="IV74" i="17" s="1"/>
  <c r="IX74" i="17" s="1"/>
  <c r="IU73" i="17"/>
  <c r="IV73" i="17" s="1"/>
  <c r="IX73" i="17" s="1"/>
  <c r="GR74" i="17"/>
  <c r="JN12" i="17"/>
  <c r="HL12" i="17"/>
  <c r="LP12" i="17"/>
  <c r="AB69" i="17"/>
  <c r="GW73" i="17"/>
  <c r="GY73" i="17" s="1"/>
  <c r="AA70" i="17"/>
  <c r="AG74" i="17"/>
  <c r="P72" i="17"/>
  <c r="LH72" i="17"/>
  <c r="LF72" i="17"/>
  <c r="LG72" i="17"/>
  <c r="LK72" i="17" s="1"/>
  <c r="HN71" i="17"/>
  <c r="HE71" i="17"/>
  <c r="NV74" i="17"/>
  <c r="MN74" i="17"/>
  <c r="MO74" i="17" s="1"/>
  <c r="NJ67" i="17"/>
  <c r="NS67" i="17"/>
  <c r="NN70" i="17"/>
  <c r="NM71" i="17"/>
  <c r="MT71" i="17"/>
  <c r="MW71" i="17" s="1"/>
  <c r="NO69" i="17"/>
  <c r="ND69" i="17"/>
  <c r="NM72" i="17"/>
  <c r="MT72" i="17"/>
  <c r="MW72" i="17" s="1"/>
  <c r="P73" i="17"/>
  <c r="MS73" i="17"/>
  <c r="V73" i="17" s="1"/>
  <c r="NV21" i="17"/>
  <c r="NR21" i="17"/>
  <c r="S68" i="17" l="1"/>
  <c r="X69" i="17"/>
  <c r="S69" i="17" s="1"/>
  <c r="NR12" i="17"/>
  <c r="HM8" i="17" s="1"/>
  <c r="JM68" i="17"/>
  <c r="HK71" i="17"/>
  <c r="HF71" i="17"/>
  <c r="LN73" i="17"/>
  <c r="LO72" i="17"/>
  <c r="LM74" i="17"/>
  <c r="NP66" i="17"/>
  <c r="NP67" i="17"/>
  <c r="AH65" i="17"/>
  <c r="AR65" i="17" s="1"/>
  <c r="W65" i="17"/>
  <c r="LJ71" i="17"/>
  <c r="NK67" i="17"/>
  <c r="NS66" i="17"/>
  <c r="AF67" i="17"/>
  <c r="W67" i="17" s="1"/>
  <c r="NJ66" i="17"/>
  <c r="AF66" i="17"/>
  <c r="AH66" i="17" s="1"/>
  <c r="AR66" i="17" s="1"/>
  <c r="NI68" i="17"/>
  <c r="NK66" i="17"/>
  <c r="NH68" i="17"/>
  <c r="NL68" i="17" s="1"/>
  <c r="NF69" i="17"/>
  <c r="AD69" i="17" s="1"/>
  <c r="Q69" i="17" s="1"/>
  <c r="NG68" i="17"/>
  <c r="AE68" i="17" s="1"/>
  <c r="HA73" i="17"/>
  <c r="HB73" i="17" s="1"/>
  <c r="HA72" i="17"/>
  <c r="HC72" i="17" s="1"/>
  <c r="HG72" i="17" s="1"/>
  <c r="HJ72" i="17"/>
  <c r="GS74" i="17"/>
  <c r="GT74" i="17" s="1"/>
  <c r="GV74" i="17" s="1"/>
  <c r="IY74" i="17"/>
  <c r="JH71" i="17"/>
  <c r="JP71" i="17"/>
  <c r="JE72" i="17"/>
  <c r="JI72" i="17" s="1"/>
  <c r="JF72" i="17"/>
  <c r="JK74" i="17"/>
  <c r="JK73" i="17"/>
  <c r="HL8" i="17"/>
  <c r="G104" i="17" s="1"/>
  <c r="D104" i="17" s="1"/>
  <c r="NW21" i="17"/>
  <c r="NW12" i="17" s="1"/>
  <c r="HR8" i="17" s="1"/>
  <c r="G87" i="17" s="1"/>
  <c r="D87" i="17" s="1"/>
  <c r="NV12" i="17"/>
  <c r="HQ8" i="17" s="1"/>
  <c r="NX17" i="17"/>
  <c r="NW17" i="17"/>
  <c r="AB70" i="17"/>
  <c r="LJ72" i="17"/>
  <c r="LF73" i="17"/>
  <c r="LG73" i="17"/>
  <c r="LK73" i="17" s="1"/>
  <c r="LH73" i="17"/>
  <c r="LI72" i="17"/>
  <c r="LR72" i="17"/>
  <c r="JG72" i="17"/>
  <c r="JP72" i="17"/>
  <c r="ND70" i="17"/>
  <c r="NO70" i="17"/>
  <c r="O74" i="17"/>
  <c r="NM73" i="17"/>
  <c r="MT73" i="17"/>
  <c r="MW73" i="17" s="1"/>
  <c r="MX72" i="17"/>
  <c r="MY72" i="17" s="1"/>
  <c r="NA72" i="17" s="1"/>
  <c r="NB72" i="17" s="1"/>
  <c r="MX71" i="17"/>
  <c r="MY71" i="17" s="1"/>
  <c r="NA71" i="17" s="1"/>
  <c r="NB71" i="17" s="1"/>
  <c r="P74" i="17"/>
  <c r="MS74" i="17"/>
  <c r="V74" i="17" s="1"/>
  <c r="KZ21" i="17"/>
  <c r="IX21" i="17"/>
  <c r="LM21" i="17"/>
  <c r="JK21" i="17"/>
  <c r="U69" i="17" l="1"/>
  <c r="X70" i="17"/>
  <c r="U70" i="17" s="1"/>
  <c r="LM12" i="17"/>
  <c r="LC74" i="17"/>
  <c r="LE74" i="17" s="1"/>
  <c r="LH74" i="17" s="1"/>
  <c r="LO71" i="17"/>
  <c r="JK12" i="17"/>
  <c r="JM71" i="17"/>
  <c r="IY73" i="17"/>
  <c r="JA73" i="17" s="1"/>
  <c r="HI74" i="17"/>
  <c r="NP68" i="17"/>
  <c r="AB72" i="17"/>
  <c r="NI69" i="17"/>
  <c r="R67" i="17"/>
  <c r="AH67" i="17"/>
  <c r="AR67" i="17" s="1"/>
  <c r="NS68" i="17"/>
  <c r="NH69" i="17"/>
  <c r="NL69" i="17" s="1"/>
  <c r="R66" i="17"/>
  <c r="NG69" i="17"/>
  <c r="AE69" i="17" s="1"/>
  <c r="W66" i="17"/>
  <c r="NK68" i="17"/>
  <c r="NJ68" i="17"/>
  <c r="AF68" i="17"/>
  <c r="R68" i="17" s="1"/>
  <c r="HC73" i="17"/>
  <c r="HG73" i="17" s="1"/>
  <c r="NF70" i="17"/>
  <c r="AD70" i="17" s="1"/>
  <c r="Q70" i="17" s="1"/>
  <c r="HF72" i="17"/>
  <c r="HK72" i="17"/>
  <c r="HE73" i="17"/>
  <c r="HN73" i="17"/>
  <c r="HB72" i="17"/>
  <c r="HN72" i="17" s="1"/>
  <c r="HD72" i="17"/>
  <c r="HD73" i="17"/>
  <c r="LN74" i="17"/>
  <c r="JL74" i="17"/>
  <c r="JA74" i="17"/>
  <c r="JC74" i="17" s="1"/>
  <c r="JE74" i="17" s="1"/>
  <c r="JI74" i="17" s="1"/>
  <c r="JL73" i="17"/>
  <c r="JH72" i="17"/>
  <c r="AA72" i="17"/>
  <c r="AA71" i="17"/>
  <c r="LJ73" i="17"/>
  <c r="LR73" i="17"/>
  <c r="LI73" i="17"/>
  <c r="NN71" i="17"/>
  <c r="MX73" i="17"/>
  <c r="MY73" i="17" s="1"/>
  <c r="NA73" i="17" s="1"/>
  <c r="NB73" i="17" s="1"/>
  <c r="NM74" i="17"/>
  <c r="MT74" i="17"/>
  <c r="MW74" i="17" s="1"/>
  <c r="NN72" i="17"/>
  <c r="LN21" i="17"/>
  <c r="GV21" i="17"/>
  <c r="HI21" i="17"/>
  <c r="LH21" i="17"/>
  <c r="NM21" i="17"/>
  <c r="JL21" i="17"/>
  <c r="S70" i="17" l="1"/>
  <c r="X72" i="17"/>
  <c r="U72" i="17" s="1"/>
  <c r="LG74" i="17"/>
  <c r="LK74" i="17" s="1"/>
  <c r="LN12" i="17"/>
  <c r="LF74" i="17"/>
  <c r="LI74" i="17" s="1"/>
  <c r="LO73" i="17"/>
  <c r="JL12" i="17"/>
  <c r="JM72" i="17"/>
  <c r="HI12" i="17"/>
  <c r="GW74" i="17"/>
  <c r="GY74" i="17" s="1"/>
  <c r="HA74" i="17" s="1"/>
  <c r="HC74" i="17" s="1"/>
  <c r="HG74" i="17" s="1"/>
  <c r="AF69" i="17"/>
  <c r="W69" i="17" s="1"/>
  <c r="JM74" i="17"/>
  <c r="HF73" i="17"/>
  <c r="NP69" i="17"/>
  <c r="NS69" i="17"/>
  <c r="NK69" i="17"/>
  <c r="NJ69" i="17"/>
  <c r="AH68" i="17"/>
  <c r="AR68" i="17" s="1"/>
  <c r="W68" i="17"/>
  <c r="NG70" i="17"/>
  <c r="AE70" i="17" s="1"/>
  <c r="NI70" i="17"/>
  <c r="NH70" i="17"/>
  <c r="NL70" i="17" s="1"/>
  <c r="HE72" i="17"/>
  <c r="HJ74" i="17"/>
  <c r="JD74" i="17"/>
  <c r="JG74" i="17" s="1"/>
  <c r="JH74" i="17"/>
  <c r="JC73" i="17"/>
  <c r="JF73" i="17" s="1"/>
  <c r="JF74" i="17"/>
  <c r="NM12" i="17"/>
  <c r="HH8" i="17" s="1"/>
  <c r="AB71" i="17"/>
  <c r="LH12" i="17"/>
  <c r="AA73" i="17"/>
  <c r="ND72" i="17"/>
  <c r="NO72" i="17"/>
  <c r="NN73" i="17"/>
  <c r="NO71" i="17"/>
  <c r="ND71" i="17"/>
  <c r="MX74" i="17"/>
  <c r="MY74" i="17" s="1"/>
  <c r="NA74" i="17" s="1"/>
  <c r="NB74" i="17" s="1"/>
  <c r="HJ21" i="17"/>
  <c r="JF21" i="17"/>
  <c r="LI21" i="17"/>
  <c r="LK21" i="17"/>
  <c r="HG21" i="17"/>
  <c r="LJ21" i="17"/>
  <c r="S72" i="17" l="1"/>
  <c r="X71" i="17"/>
  <c r="S71" i="17" s="1"/>
  <c r="LJ74" i="17"/>
  <c r="LR74" i="17"/>
  <c r="LO74" i="17"/>
  <c r="JF12" i="17"/>
  <c r="HJ12" i="17"/>
  <c r="HG12" i="17"/>
  <c r="HK73" i="17"/>
  <c r="AH69" i="17"/>
  <c r="AR69" i="17" s="1"/>
  <c r="R69" i="17"/>
  <c r="NP70" i="17"/>
  <c r="NJ70" i="17"/>
  <c r="NS70" i="17"/>
  <c r="NK70" i="17"/>
  <c r="AF70" i="17"/>
  <c r="R70" i="17" s="1"/>
  <c r="HB74" i="17"/>
  <c r="HE74" i="17" s="1"/>
  <c r="NF72" i="17"/>
  <c r="AD72" i="17" s="1"/>
  <c r="Q72" i="17" s="1"/>
  <c r="NF71" i="17"/>
  <c r="AD71" i="17" s="1"/>
  <c r="Q71" i="17" s="1"/>
  <c r="HF74" i="17"/>
  <c r="HK74" i="17"/>
  <c r="HD74" i="17"/>
  <c r="JP74" i="17"/>
  <c r="JE73" i="17"/>
  <c r="JI73" i="17" s="1"/>
  <c r="JD73" i="17"/>
  <c r="JP73" i="17" s="1"/>
  <c r="AB73" i="17"/>
  <c r="G102" i="17"/>
  <c r="D102" i="17" s="1"/>
  <c r="G98" i="17"/>
  <c r="D98" i="17" s="1"/>
  <c r="LJ12" i="17"/>
  <c r="LI12" i="17"/>
  <c r="LK12" i="17"/>
  <c r="AA74" i="17"/>
  <c r="NO73" i="17"/>
  <c r="ND73" i="17"/>
  <c r="NN74" i="17"/>
  <c r="HD21" i="17"/>
  <c r="JP21" i="17"/>
  <c r="NA21" i="17"/>
  <c r="HF21" i="17"/>
  <c r="HE21" i="17"/>
  <c r="HK21" i="17"/>
  <c r="LO21" i="17"/>
  <c r="LR21" i="17"/>
  <c r="NN21" i="17"/>
  <c r="U71" i="17" l="1"/>
  <c r="X73" i="17"/>
  <c r="S73" i="17" s="1"/>
  <c r="LW19" i="17"/>
  <c r="LR12" i="17"/>
  <c r="LW16" i="17"/>
  <c r="LF23" i="17"/>
  <c r="KF3" i="17" s="1"/>
  <c r="LV16" i="17"/>
  <c r="LS21" i="17" s="1"/>
  <c r="LS12" i="17" s="1"/>
  <c r="JP12" i="17"/>
  <c r="JU19" i="17"/>
  <c r="JD23" i="17"/>
  <c r="ID3" i="17" s="1"/>
  <c r="JT16" i="17"/>
  <c r="JQ21" i="17" s="1"/>
  <c r="JQ12" i="17" s="1"/>
  <c r="JU16" i="17"/>
  <c r="HD12" i="17"/>
  <c r="HE12" i="17"/>
  <c r="HK12" i="17"/>
  <c r="HF12" i="17"/>
  <c r="NH71" i="17"/>
  <c r="NL71" i="17" s="1"/>
  <c r="NG72" i="17"/>
  <c r="AE72" i="17" s="1"/>
  <c r="NI72" i="17"/>
  <c r="NH72" i="17"/>
  <c r="NL72" i="17" s="1"/>
  <c r="AH70" i="17"/>
  <c r="AR70" i="17" s="1"/>
  <c r="HN74" i="17"/>
  <c r="NG71" i="17"/>
  <c r="AE71" i="17" s="1"/>
  <c r="W70" i="17"/>
  <c r="NI71" i="17"/>
  <c r="NF73" i="17"/>
  <c r="NH73" i="17" s="1"/>
  <c r="NL73" i="17" s="1"/>
  <c r="JG73" i="17"/>
  <c r="JH73" i="17"/>
  <c r="NN12" i="17"/>
  <c r="HI8" i="17" s="1"/>
  <c r="G91" i="17" s="1"/>
  <c r="D91" i="17" s="1"/>
  <c r="AB74" i="17"/>
  <c r="X74" i="17" s="1"/>
  <c r="LO12" i="17"/>
  <c r="ND74" i="17"/>
  <c r="NO74" i="17"/>
  <c r="NO21" i="17"/>
  <c r="JH21" i="17"/>
  <c r="HN21" i="17"/>
  <c r="JI21" i="17"/>
  <c r="JG21" i="17"/>
  <c r="U73" i="17" l="1"/>
  <c r="JH12" i="17"/>
  <c r="JI12" i="17"/>
  <c r="JG12" i="17"/>
  <c r="JM73" i="17"/>
  <c r="HR16" i="17"/>
  <c r="HO21" i="17" s="1"/>
  <c r="HO12" i="17" s="1"/>
  <c r="HN12" i="17"/>
  <c r="HS16" i="17"/>
  <c r="HS19" i="17"/>
  <c r="HB23" i="17"/>
  <c r="GC3" i="17" s="1"/>
  <c r="NK71" i="17"/>
  <c r="AF71" i="17"/>
  <c r="R71" i="17" s="1"/>
  <c r="AF72" i="17"/>
  <c r="AH72" i="17" s="1"/>
  <c r="AR72" i="17" s="1"/>
  <c r="NP73" i="17"/>
  <c r="NP72" i="17"/>
  <c r="NP71" i="17"/>
  <c r="NK72" i="17"/>
  <c r="NS72" i="17"/>
  <c r="NJ72" i="17"/>
  <c r="NS71" i="17"/>
  <c r="NJ71" i="17"/>
  <c r="NI73" i="17"/>
  <c r="NG73" i="17"/>
  <c r="AE73" i="17" s="1"/>
  <c r="NF74" i="17"/>
  <c r="AD74" i="17" s="1"/>
  <c r="Q74" i="17" s="1"/>
  <c r="AD73" i="17"/>
  <c r="Q73" i="17" s="1"/>
  <c r="U74" i="17"/>
  <c r="S74" i="17"/>
  <c r="NO12" i="17"/>
  <c r="HJ8" i="17" s="1"/>
  <c r="AF73" i="17"/>
  <c r="NK73" i="17"/>
  <c r="JM21" i="17"/>
  <c r="JM12" i="17" l="1"/>
  <c r="AH71" i="17"/>
  <c r="AR71" i="17" s="1"/>
  <c r="R72" i="17"/>
  <c r="W71" i="17"/>
  <c r="W72" i="17"/>
  <c r="NH74" i="17"/>
  <c r="NL74" i="17" s="1"/>
  <c r="NS73" i="17"/>
  <c r="NI74" i="17"/>
  <c r="NJ73" i="17"/>
  <c r="NG74" i="17"/>
  <c r="AE74" i="17" s="1"/>
  <c r="B78" i="17"/>
  <c r="W73" i="17"/>
  <c r="R73" i="17"/>
  <c r="AH73" i="17"/>
  <c r="AR73" i="17" s="1"/>
  <c r="NL21" i="17"/>
  <c r="NI21" i="17"/>
  <c r="NI12" i="17" l="1"/>
  <c r="HD8" i="17" s="1"/>
  <c r="G96" i="17" s="1"/>
  <c r="D96" i="17" s="1"/>
  <c r="NP74" i="17"/>
  <c r="NK74" i="17"/>
  <c r="AF74" i="17"/>
  <c r="AH74" i="17" s="1"/>
  <c r="AR74" i="17" s="1"/>
  <c r="NS74" i="17"/>
  <c r="NJ74" i="17"/>
  <c r="NL12" i="17"/>
  <c r="HG8" i="17" s="1"/>
  <c r="NP21" i="17"/>
  <c r="NS21" i="17"/>
  <c r="NK21" i="17"/>
  <c r="NJ21" i="17"/>
  <c r="NJ12" i="17" l="1"/>
  <c r="HE8" i="17" s="1"/>
  <c r="G88" i="17" s="1"/>
  <c r="D88" i="17" s="1"/>
  <c r="NX16" i="17"/>
  <c r="NS12" i="17"/>
  <c r="HN8" i="17" s="1"/>
  <c r="NG23" i="17"/>
  <c r="MH3" i="17" s="1"/>
  <c r="FT3" i="17" s="1"/>
  <c r="NX19" i="17"/>
  <c r="HB10" i="17" s="1"/>
  <c r="G85" i="17" s="1"/>
  <c r="D85" i="17" s="1"/>
  <c r="NW16" i="17"/>
  <c r="NT21" i="17" s="1"/>
  <c r="NT12" i="17" s="1"/>
  <c r="HO8" i="17" s="1"/>
  <c r="G89" i="17" s="1"/>
  <c r="D89" i="17" s="1"/>
  <c r="NK12" i="17"/>
  <c r="HF8" i="17" s="1"/>
  <c r="G90" i="17" s="1"/>
  <c r="D90" i="17" s="1"/>
  <c r="C78" i="17"/>
  <c r="R74" i="17"/>
  <c r="W74" i="17"/>
  <c r="NP12" i="17"/>
  <c r="HK8" i="17" s="1"/>
  <c r="G92" i="17" s="1"/>
  <c r="D92" i="17" s="1"/>
  <c r="C65" i="16" l="1"/>
  <c r="C63"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author>
  </authors>
  <commentList>
    <comment ref="G6" authorId="0" shapeId="0" xr:uid="{00000000-0006-0000-0000-000001000000}">
      <text>
        <r>
          <rPr>
            <b/>
            <sz val="8"/>
            <color indexed="81"/>
            <rFont val="Tahoma"/>
            <family val="2"/>
          </rPr>
          <t>Muodossa:
pv.kk.vvvv</t>
        </r>
      </text>
    </comment>
    <comment ref="K10" authorId="0" shapeId="0" xr:uid="{00000000-0006-0000-0000-000002000000}">
      <text>
        <r>
          <rPr>
            <sz val="10"/>
            <color indexed="81"/>
            <rFont val="Tahoma"/>
            <family val="2"/>
          </rPr>
          <t>Poistoilmavirta on käyntiajoilla painotettujen poistoilmavirtojen summa.</t>
        </r>
      </text>
    </comment>
    <comment ref="L10" authorId="0" shapeId="0" xr:uid="{00000000-0006-0000-0000-000003000000}">
      <text>
        <r>
          <rPr>
            <sz val="10"/>
            <color indexed="81"/>
            <rFont val="Tahoma"/>
            <family val="2"/>
          </rPr>
          <t>Ilmanvaihdon LTO:n vuosihyötysuhde on käyntiajalla painotetuilla poistoilmavirroilla painotettujen ilmanvaihtokonekohtaisten LTO:n vuosihyötysuhteiden keskiarvo.</t>
        </r>
      </text>
    </comment>
    <comment ref="K11" authorId="0" shapeId="0" xr:uid="{00000000-0006-0000-0000-000004000000}">
      <text>
        <r>
          <rPr>
            <sz val="10"/>
            <color indexed="81"/>
            <rFont val="Tahoma"/>
            <family val="2"/>
          </rPr>
          <t>Tätä ilmavirtaa voidaan käyttää todellisen energiankulutuksen laskennassa. 
Jos rakennuksen käyttötarkoitusluokka on 9, niin kopioi tämä ilmavirta tasauslaskenta-lomakkeeseen.</t>
        </r>
      </text>
    </comment>
    <comment ref="L11" authorId="0" shapeId="0" xr:uid="{00000000-0006-0000-0000-000005000000}">
      <text>
        <r>
          <rPr>
            <sz val="10"/>
            <color indexed="81"/>
            <rFont val="Tahoma"/>
            <family val="2"/>
          </rPr>
          <t>Kopioi arvo tasauslaskenta-lomakkeeseen.</t>
        </r>
      </text>
    </comment>
    <comment ref="C12" authorId="0" shapeId="0" xr:uid="{00000000-0006-0000-0000-000006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12" authorId="0" shapeId="0" xr:uid="{00000000-0006-0000-0000-000007000000}">
      <text>
        <r>
          <rPr>
            <sz val="10"/>
            <color indexed="81"/>
            <rFont val="Tahoma"/>
            <family val="2"/>
          </rPr>
          <t>Ilmanvaihtokoneen mitoitusulkoilmavirta saadaan suunnitteluasiakirjoista.</t>
        </r>
      </text>
    </comment>
    <comment ref="E12" authorId="0" shapeId="0" xr:uid="{00000000-0006-0000-0000-000008000000}">
      <text>
        <r>
          <rPr>
            <sz val="10"/>
            <color indexed="81"/>
            <rFont val="Tahoma"/>
            <family val="2"/>
          </rPr>
          <t>Ilmanvaihtokoneen mitoituspoistoilmavirta saadaan suunnitteluasiakirjoista.</t>
        </r>
      </text>
    </comment>
    <comment ref="F12" authorId="0" shapeId="0" xr:uid="{00000000-0006-0000-0000-000009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12" authorId="0" shapeId="0" xr:uid="{00000000-0006-0000-0000-00000A000000}">
      <text>
        <r>
          <rPr>
            <sz val="10"/>
            <color indexed="81"/>
            <rFont val="Tahoma"/>
            <family val="2"/>
          </rPr>
          <t>Käyttöajan keskimääräinen poistoilmavirta on mitoituspoistoilmavirta kerrottuna käyttöilmavirtakertoimella.</t>
        </r>
      </text>
    </comment>
    <comment ref="H12" authorId="0" shapeId="0" xr:uid="{00000000-0006-0000-0000-00000B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12" authorId="0" shapeId="0" xr:uid="{00000000-0006-0000-0000-00000C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12" authorId="0" shapeId="0" xr:uid="{00000000-0006-0000-0000-00000D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L12" authorId="0" shapeId="0" xr:uid="{00000000-0006-0000-0000-00000E000000}">
      <text>
        <r>
          <rPr>
            <sz val="10"/>
            <color indexed="81"/>
            <rFont val="Tahoma"/>
            <family val="2"/>
          </rPr>
          <t>Laske ja hae ilmanvaihtokonekohtainen poistoilman lämmöntalteenoton (LTO) vuosihyötysuhde tähän "LTO-laskin"-sivulta.
Ilmanvaihtokonekohtainen poistoilman lämmöntalteenoton (LTO) vuosihyötysuhde määritetään rakentamismääräyskokoelman osan D3 mukaan.
Tasauslaskentaopas 2017 sisältää yksityiskohtaisia ohjeita LTO:n vuosihyötysuhteen määrittämisestä. Vastaavat ohjeet on julkaistu aikaisemmin ympäristöministeriön monisteessa 122.</t>
        </r>
        <r>
          <rPr>
            <b/>
            <sz val="8"/>
            <color indexed="81"/>
            <rFont val="Tahoma"/>
            <family val="2"/>
          </rPr>
          <t xml:space="preserve">
</t>
        </r>
      </text>
    </comment>
    <comment ref="H13" authorId="0" shapeId="0" xr:uid="{00000000-0006-0000-0000-00000F000000}">
      <text>
        <r>
          <rPr>
            <sz val="10"/>
            <color indexed="81"/>
            <rFont val="Tahoma"/>
            <family val="2"/>
          </rPr>
          <t>Ilmanvaihtokoneen käyntiaika (tuntia) vuorokaudessa.</t>
        </r>
      </text>
    </comment>
    <comment ref="I13" authorId="0" shapeId="0" xr:uid="{00000000-0006-0000-0000-000010000000}">
      <text>
        <r>
          <rPr>
            <sz val="10"/>
            <color indexed="81"/>
            <rFont val="Tahoma"/>
            <family val="2"/>
          </rPr>
          <t>Ilmanvaihtokoneen käyntiaika (vuorokautta) viikossa.</t>
        </r>
      </text>
    </comment>
    <comment ref="A14" authorId="0" shapeId="0" xr:uid="{00000000-0006-0000-0000-000011000000}">
      <text>
        <r>
          <rPr>
            <sz val="10"/>
            <color indexed="81"/>
            <rFont val="Tahoma"/>
            <family val="2"/>
          </rPr>
          <t>Ilmanvaihtokoneen lyhyt nimi.</t>
        </r>
      </text>
    </comment>
    <comment ref="B14" authorId="0" shapeId="0" xr:uid="{00000000-0006-0000-0000-000012000000}">
      <text>
        <r>
          <rPr>
            <sz val="10"/>
            <color indexed="81"/>
            <rFont val="Tahoma"/>
            <family val="2"/>
          </rPr>
          <t>Ilmanvaihtokoneen palvelualue.</t>
        </r>
      </text>
    </comment>
    <comment ref="K44" authorId="0" shapeId="0" xr:uid="{00000000-0006-0000-0000-000013000000}">
      <text>
        <r>
          <rPr>
            <sz val="10"/>
            <color indexed="81"/>
            <rFont val="Tahoma"/>
            <family val="2"/>
          </rPr>
          <t>Poistoilmavirta on käyntiajoilla painotettujen poistoilmavirtojen summa.</t>
        </r>
      </text>
    </comment>
    <comment ref="K45" authorId="0" shapeId="0" xr:uid="{00000000-0006-0000-0000-000014000000}">
      <text>
        <r>
          <rPr>
            <sz val="10"/>
            <color indexed="81"/>
            <rFont val="Tahoma"/>
            <family val="2"/>
          </rPr>
          <t>Kopioi arvo tasauslaskenta-lomakkeeseen.</t>
        </r>
      </text>
    </comment>
    <comment ref="C46" authorId="0" shapeId="0" xr:uid="{00000000-0006-0000-0000-000015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46" authorId="0" shapeId="0" xr:uid="{00000000-0006-0000-0000-000016000000}">
      <text>
        <r>
          <rPr>
            <sz val="10"/>
            <color indexed="81"/>
            <rFont val="Tahoma"/>
            <family val="2"/>
          </rPr>
          <t>Ilmanvaihtokoneen mitoitusulkoilmavirta saadaan suunnitteluasiakirjoista.</t>
        </r>
      </text>
    </comment>
    <comment ref="E46" authorId="0" shapeId="0" xr:uid="{00000000-0006-0000-0000-000017000000}">
      <text>
        <r>
          <rPr>
            <sz val="10"/>
            <color indexed="81"/>
            <rFont val="Tahoma"/>
            <family val="2"/>
          </rPr>
          <t>Ilmanvaihtokoneen mitoituspoistoilmavirta saadaan suunnitteluasiakirjoista.</t>
        </r>
      </text>
    </comment>
    <comment ref="F46" authorId="0" shapeId="0" xr:uid="{00000000-0006-0000-0000-000018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46" authorId="0" shapeId="0" xr:uid="{00000000-0006-0000-0000-000019000000}">
      <text>
        <r>
          <rPr>
            <sz val="10"/>
            <color indexed="81"/>
            <rFont val="Tahoma"/>
            <family val="2"/>
          </rPr>
          <t>Käyttöajan keskimääräinen poistoilmavirta on mitoituspoistoilmavirta kerrottuna käyttöilmavirtakertoimella.</t>
        </r>
      </text>
    </comment>
    <comment ref="H46" authorId="0" shapeId="0" xr:uid="{00000000-0006-0000-0000-00001A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46" authorId="0" shapeId="0" xr:uid="{00000000-0006-0000-0000-00001B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46" authorId="0" shapeId="0" xr:uid="{00000000-0006-0000-0000-00001C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H47" authorId="0" shapeId="0" xr:uid="{00000000-0006-0000-0000-00001D000000}">
      <text>
        <r>
          <rPr>
            <sz val="10"/>
            <color indexed="81"/>
            <rFont val="Tahoma"/>
            <family val="2"/>
          </rPr>
          <t>Ilmanvaihtokoneen käyntiaika (tuntia) vuorokaudessa.</t>
        </r>
      </text>
    </comment>
    <comment ref="I47" authorId="0" shapeId="0" xr:uid="{00000000-0006-0000-0000-00001E000000}">
      <text>
        <r>
          <rPr>
            <sz val="10"/>
            <color indexed="81"/>
            <rFont val="Tahoma"/>
            <family val="2"/>
          </rPr>
          <t>Ilmanvaihtokoneen käyntiaika (vuorokautta) viikossa.</t>
        </r>
      </text>
    </comment>
    <comment ref="A48" authorId="0" shapeId="0" xr:uid="{00000000-0006-0000-0000-00001F000000}">
      <text>
        <r>
          <rPr>
            <sz val="10"/>
            <color indexed="81"/>
            <rFont val="Tahoma"/>
            <family val="2"/>
          </rPr>
          <t>Ilmanvaihtokoneen lyhyt nimi.</t>
        </r>
      </text>
    </comment>
    <comment ref="B48" authorId="0" shapeId="0" xr:uid="{00000000-0006-0000-0000-000020000000}">
      <text>
        <r>
          <rPr>
            <sz val="10"/>
            <color indexed="81"/>
            <rFont val="Tahoma"/>
            <family val="2"/>
          </rPr>
          <t>Ilmanvaihtokoneen palvelualue.</t>
        </r>
      </text>
    </comment>
    <comment ref="K68" authorId="0" shapeId="0" xr:uid="{00000000-0006-0000-0000-000021000000}">
      <text>
        <r>
          <rPr>
            <sz val="10"/>
            <color indexed="81"/>
            <rFont val="Tahoma"/>
            <family val="2"/>
          </rPr>
          <t>Poistoilmavirta on käyntiajoilla painotettujen poistoilmavirtojen summa.</t>
        </r>
      </text>
    </comment>
    <comment ref="L68" authorId="0" shapeId="0" xr:uid="{00000000-0006-0000-0000-000022000000}">
      <text>
        <r>
          <rPr>
            <sz val="10"/>
            <color indexed="81"/>
            <rFont val="Tahoma"/>
            <family val="2"/>
          </rPr>
          <t>Ilmanvaihdon LTO:n vuosihyötysuhde on käyttöajalla painotetuilla poistoilmavirroilla painotettujen ilmanvaihtokonekohtaisten LTO:n vuosihyötysuhteiden keskiarvo.</t>
        </r>
      </text>
    </comment>
    <comment ref="K69" authorId="0" shapeId="0" xr:uid="{00000000-0006-0000-0000-000023000000}">
      <text>
        <r>
          <rPr>
            <sz val="10"/>
            <color indexed="81"/>
            <rFont val="Tahoma"/>
            <family val="2"/>
          </rPr>
          <t>Tätä ilmavirtaa voidaan käyttää todellisen energiankulutuksen laskennassa. 
Jos rakennuksen käyttötarkoitusluokka on 9, niin kopioi tämä ilmavirta tasauslaskenta-lomakkeeseen.</t>
        </r>
      </text>
    </comment>
    <comment ref="L69" authorId="0" shapeId="0" xr:uid="{00000000-0006-0000-0000-000024000000}">
      <text>
        <r>
          <rPr>
            <sz val="10"/>
            <color indexed="81"/>
            <rFont val="Tahoma"/>
            <family val="2"/>
          </rPr>
          <t>Kopioi arvo tasauslaskenta-lomakkeeseen.</t>
        </r>
      </text>
    </comment>
    <comment ref="C70" authorId="0" shapeId="0" xr:uid="{00000000-0006-0000-0000-000025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70" authorId="0" shapeId="0" xr:uid="{00000000-0006-0000-0000-000026000000}">
      <text>
        <r>
          <rPr>
            <sz val="10"/>
            <color indexed="81"/>
            <rFont val="Tahoma"/>
            <family val="2"/>
          </rPr>
          <t>Ilmanvaihtokoneen mitoitusulkoilmavirta saadaan suunnitteluasiakirjoista.</t>
        </r>
      </text>
    </comment>
    <comment ref="E70" authorId="0" shapeId="0" xr:uid="{00000000-0006-0000-0000-000027000000}">
      <text>
        <r>
          <rPr>
            <sz val="10"/>
            <color indexed="81"/>
            <rFont val="Tahoma"/>
            <family val="2"/>
          </rPr>
          <t>Ilmanvaihtokoneen mitoituspoistoilmavirta saadaan suunnitteluasiakirjoista.</t>
        </r>
      </text>
    </comment>
    <comment ref="F70" authorId="0" shapeId="0" xr:uid="{00000000-0006-0000-0000-000028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70" authorId="0" shapeId="0" xr:uid="{00000000-0006-0000-0000-000029000000}">
      <text>
        <r>
          <rPr>
            <sz val="10"/>
            <color indexed="81"/>
            <rFont val="Tahoma"/>
            <family val="2"/>
          </rPr>
          <t>Käyttöajan keskimääräinen poistoilmavirta on mitoituspoistoilmavirta kerrottuna käyttöilmavirtakertoimella.</t>
        </r>
      </text>
    </comment>
    <comment ref="H70" authorId="0" shapeId="0" xr:uid="{00000000-0006-0000-0000-00002A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70" authorId="0" shapeId="0" xr:uid="{00000000-0006-0000-0000-00002B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70" authorId="0" shapeId="0" xr:uid="{00000000-0006-0000-0000-00002C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L70" authorId="0" shapeId="0" xr:uid="{00000000-0006-0000-0000-00002D000000}">
      <text>
        <r>
          <rPr>
            <sz val="10"/>
            <color indexed="81"/>
            <rFont val="Tahoma"/>
            <family val="2"/>
          </rPr>
          <t>Laske ja hae ilmanvaihtokonekohtainen poistoilman lämmöntalteenoton (LTO) vuosihyötysuhde tähän "LTO-laskin"-sivulta.
Ilmanvaihtokonekohtainen poistoilman lämmöntalteenoton (LTO) vuosihyötysuhde määritetään rakentamismääräyskokoelman osan D3 mukaan.
Tasauslaskentaopas 2017 sisältää yksityiskohtaisia ohjeita LTO:n vuosihyötysuhteen määrittämisestä. Vastaavat ohjeet on julkaistu aikaisemmin ympäristöministeriön monisteessa 122.</t>
        </r>
        <r>
          <rPr>
            <b/>
            <sz val="8"/>
            <color indexed="81"/>
            <rFont val="Tahoma"/>
            <family val="2"/>
          </rPr>
          <t xml:space="preserve">
</t>
        </r>
      </text>
    </comment>
    <comment ref="H71" authorId="0" shapeId="0" xr:uid="{00000000-0006-0000-0000-00002E000000}">
      <text>
        <r>
          <rPr>
            <sz val="10"/>
            <color indexed="81"/>
            <rFont val="Tahoma"/>
            <family val="2"/>
          </rPr>
          <t>Ilmanvaihtokoneen käyntiaika (tuntia) vuorokaudessa.</t>
        </r>
      </text>
    </comment>
    <comment ref="I71" authorId="0" shapeId="0" xr:uid="{00000000-0006-0000-0000-00002F000000}">
      <text>
        <r>
          <rPr>
            <sz val="10"/>
            <color indexed="81"/>
            <rFont val="Tahoma"/>
            <family val="2"/>
          </rPr>
          <t>Ilmanvaihtokoneen käyntiaika (vuorokautta) viikossa.</t>
        </r>
      </text>
    </comment>
    <comment ref="A72" authorId="0" shapeId="0" xr:uid="{00000000-0006-0000-0000-000030000000}">
      <text>
        <r>
          <rPr>
            <sz val="10"/>
            <color indexed="81"/>
            <rFont val="Tahoma"/>
            <family val="2"/>
          </rPr>
          <t>Ilmanvaihtokoneen lyhyt nimi.</t>
        </r>
      </text>
    </comment>
    <comment ref="B72" authorId="0" shapeId="0" xr:uid="{00000000-0006-0000-0000-000031000000}">
      <text>
        <r>
          <rPr>
            <sz val="10"/>
            <color indexed="81"/>
            <rFont val="Tahoma"/>
            <family val="2"/>
          </rPr>
          <t>Ilmanvaihtokoneen palvelualue.</t>
        </r>
      </text>
    </comment>
    <comment ref="K102" authorId="0" shapeId="0" xr:uid="{00000000-0006-0000-0000-000032000000}">
      <text>
        <r>
          <rPr>
            <sz val="10"/>
            <color indexed="81"/>
            <rFont val="Tahoma"/>
            <family val="2"/>
          </rPr>
          <t>Poistoilmavirta on käyntiajoilla painotettujen poistoilmavirtojen summa.</t>
        </r>
      </text>
    </comment>
    <comment ref="K103" authorId="0" shapeId="0" xr:uid="{00000000-0006-0000-0000-000033000000}">
      <text>
        <r>
          <rPr>
            <sz val="10"/>
            <color indexed="81"/>
            <rFont val="Tahoma"/>
            <family val="2"/>
          </rPr>
          <t>Kopioi arvo tasauslaskenta-lomakkeeseen.</t>
        </r>
      </text>
    </comment>
    <comment ref="C104" authorId="0" shapeId="0" xr:uid="{00000000-0006-0000-0000-000034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D104" authorId="0" shapeId="0" xr:uid="{00000000-0006-0000-0000-000035000000}">
      <text>
        <r>
          <rPr>
            <sz val="10"/>
            <color indexed="81"/>
            <rFont val="Tahoma"/>
            <family val="2"/>
          </rPr>
          <t>Ilmanvaihtokoneen mitoitusulkoilmavirta saadaan suunnitteluasiakirjoista.</t>
        </r>
      </text>
    </comment>
    <comment ref="E104" authorId="0" shapeId="0" xr:uid="{00000000-0006-0000-0000-000036000000}">
      <text>
        <r>
          <rPr>
            <sz val="10"/>
            <color indexed="81"/>
            <rFont val="Tahoma"/>
            <family val="2"/>
          </rPr>
          <t>Ilmanvaihtokoneen mitoituspoistoilmavirta saadaan suunnitteluasiakirjoista.</t>
        </r>
      </text>
    </comment>
    <comment ref="F104" authorId="0" shapeId="0" xr:uid="{00000000-0006-0000-0000-000037000000}">
      <text>
        <r>
          <rPr>
            <sz val="10"/>
            <color indexed="81"/>
            <rFont val="Tahoma"/>
            <family val="2"/>
          </rPr>
          <t>Käyttöilmavirtakertoimella korjataan mitoituspoistoilmavirta vastaamaan rakennuksen ja ilmanvaihdon todellista käyttöä.
Käyttöilmavirtakerroin on yleensä 1, mutta se voi olla pienempi kuin yksi, jos ilmanvaihtoa ohjataan tarpeen mukaan. 
Käyttöilmavirtakerroin voi olla suurempi kuin yksi, jos ilmanvaihtoa voidaan tehostaa tarpeen mukaan.</t>
        </r>
      </text>
    </comment>
    <comment ref="G104" authorId="0" shapeId="0" xr:uid="{00000000-0006-0000-0000-000038000000}">
      <text>
        <r>
          <rPr>
            <sz val="10"/>
            <color indexed="81"/>
            <rFont val="Tahoma"/>
            <family val="2"/>
          </rPr>
          <t>Käyttöajan keskimääräinen poistoilmavirta on mitoituspoistoilmavirta kerrottuna käyttöilmavirtakertoimella.</t>
        </r>
      </text>
    </comment>
    <comment ref="H104" authorId="0" shapeId="0" xr:uid="{00000000-0006-0000-0000-000039000000}">
      <text>
        <r>
          <rPr>
            <sz val="10"/>
            <color indexed="81"/>
            <rFont val="Tahoma"/>
            <family val="2"/>
          </rPr>
          <t xml:space="preserve">Käyntiaikatekijöillä muunnetaan osan aikaa käynnissä olevien ilmanvaihtokoneiden ilmavirrat vastaamaan jatkuvasti käynnissä olevien ilmanvaihtokoneiden ilmavirtoja. </t>
        </r>
      </text>
    </comment>
    <comment ref="J104" authorId="0" shapeId="0" xr:uid="{00000000-0006-0000-0000-00003A000000}">
      <text>
        <r>
          <rPr>
            <b/>
            <sz val="8"/>
            <color indexed="81"/>
            <rFont val="Tahoma"/>
            <family val="2"/>
          </rPr>
          <t xml:space="preserve">Osan D3/2012 mukaan:
Käyntiaikatekijä td on ilmanvaihtolaitoksen keskimääräinen vuorokautinen käyntiaika, h/24h
tw  on ilmanvaihtolaitoksen viikoittainen käyntiaika, d/7d
Rakennuksen käyttöaikaan lisätään ilmanvaihdon käyntiajan laskemiseksi 1 h alkuun ja 1 h loppuun eli kaksi tuntia vuorokaudessa. Jos ilmanvaihto on päällä jatkuvasti ja vuorokautinen käyttöaika lisäyksen johdosta ylittäisi yleisesti hyväksytyn vuorokauden pituuden 24 h, niin lisäyksiä ei  tehdä. 
</t>
        </r>
      </text>
    </comment>
    <comment ref="K104" authorId="0" shapeId="0" xr:uid="{00000000-0006-0000-0000-00003B000000}">
      <text>
        <r>
          <rPr>
            <sz val="10"/>
            <color indexed="81"/>
            <rFont val="Tahoma"/>
            <family val="2"/>
          </rPr>
          <t xml:space="preserve">Käyntiajoilla painotettu poistoilmavirta on käyttöajan keskimääräinen poistoilmavirta kerrottuna käyntiaikatekijöillä.
Käyntiajoilla painotettu poistoilmavirta = 
käyttöajan keskimääräinen poistoilmavirta x 
</t>
        </r>
        <r>
          <rPr>
            <sz val="10"/>
            <color indexed="81"/>
            <rFont val="Symbol"/>
            <family val="1"/>
            <charset val="2"/>
          </rPr>
          <t>t</t>
        </r>
        <r>
          <rPr>
            <vertAlign val="subscript"/>
            <sz val="10"/>
            <color indexed="81"/>
            <rFont val="Tahoma"/>
            <family val="2"/>
          </rPr>
          <t>d</t>
        </r>
        <r>
          <rPr>
            <sz val="10"/>
            <color indexed="81"/>
            <rFont val="Tahoma"/>
            <family val="2"/>
          </rPr>
          <t xml:space="preserve">/24 x </t>
        </r>
        <r>
          <rPr>
            <sz val="10"/>
            <color indexed="81"/>
            <rFont val="Symbol"/>
            <family val="1"/>
            <charset val="2"/>
          </rPr>
          <t>t</t>
        </r>
        <r>
          <rPr>
            <vertAlign val="subscript"/>
            <sz val="10"/>
            <color indexed="81"/>
            <rFont val="Tahoma"/>
            <family val="2"/>
          </rPr>
          <t>v</t>
        </r>
        <r>
          <rPr>
            <sz val="10"/>
            <color indexed="81"/>
            <rFont val="Tahoma"/>
            <family val="2"/>
          </rPr>
          <t>/7.</t>
        </r>
      </text>
    </comment>
    <comment ref="H105" authorId="0" shapeId="0" xr:uid="{00000000-0006-0000-0000-00003C000000}">
      <text>
        <r>
          <rPr>
            <sz val="10"/>
            <color indexed="81"/>
            <rFont val="Tahoma"/>
            <family val="2"/>
          </rPr>
          <t>Ilmanvaihtokoneen käyntiaika (tuntia) vuorokaudessa.</t>
        </r>
      </text>
    </comment>
    <comment ref="I105" authorId="0" shapeId="0" xr:uid="{00000000-0006-0000-0000-00003D000000}">
      <text>
        <r>
          <rPr>
            <sz val="10"/>
            <color indexed="81"/>
            <rFont val="Tahoma"/>
            <family val="2"/>
          </rPr>
          <t>Ilmanvaihtokoneen käyntiaika (vuorokautta) viikossa.</t>
        </r>
      </text>
    </comment>
    <comment ref="A106" authorId="0" shapeId="0" xr:uid="{00000000-0006-0000-0000-00003E000000}">
      <text>
        <r>
          <rPr>
            <sz val="10"/>
            <color indexed="81"/>
            <rFont val="Tahoma"/>
            <family val="2"/>
          </rPr>
          <t>Ilmanvaihtokoneen lyhyt nimi.</t>
        </r>
      </text>
    </comment>
    <comment ref="B106" authorId="0" shapeId="0" xr:uid="{00000000-0006-0000-0000-00003F000000}">
      <text>
        <r>
          <rPr>
            <sz val="10"/>
            <color indexed="81"/>
            <rFont val="Tahoma"/>
            <family val="2"/>
          </rPr>
          <t>Ilmanvaihtokoneen palvelualue.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author>
    <author>Mikko Saari</author>
  </authors>
  <commentList>
    <comment ref="B1" authorId="0" shapeId="0" xr:uid="{00000000-0006-0000-0100-000001000000}">
      <text>
        <r>
          <rPr>
            <sz val="10"/>
            <color indexed="81"/>
            <rFont val="Tahoma"/>
            <family val="2"/>
          </rPr>
          <t>Tiedot syötetään "Ilmanvaihto"-välilehdeltä.</t>
        </r>
      </text>
    </comment>
    <comment ref="D12" authorId="0" shapeId="0" xr:uid="{00000000-0006-0000-0100-000002000000}">
      <text>
        <r>
          <rPr>
            <sz val="10"/>
            <color indexed="81"/>
            <rFont val="Tahoma"/>
            <family val="2"/>
          </rPr>
          <t>Ilmanvaihtokoneen ulkoilmavirta saadaan yleensä suunnitteluasiakirjoista. Ilman tiheyttä 1,2 kg/m³ vastaava ilmavirta.</t>
        </r>
      </text>
    </comment>
    <comment ref="E12" authorId="0" shapeId="0" xr:uid="{00000000-0006-0000-0100-000003000000}">
      <text>
        <r>
          <rPr>
            <sz val="10"/>
            <color indexed="81"/>
            <rFont val="Tahoma"/>
            <family val="2"/>
          </rPr>
          <t>Ilmanvaihtokoneen LTO:n tai PILP:n kautta kulkeva poistoilmavirta saadaan yleensä suunnitteluasiakirjoista.
Ilman tiheyttä 1,2 kg/m³ vastaava ilmavirta.</t>
        </r>
      </text>
    </comment>
    <comment ref="A13" authorId="0" shapeId="0" xr:uid="{00000000-0006-0000-0100-000004000000}">
      <text>
        <r>
          <rPr>
            <sz val="10"/>
            <color indexed="81"/>
            <rFont val="Tahoma"/>
            <family val="2"/>
          </rPr>
          <t>Ilmanvaihtokoneen lyhyt nimi.</t>
        </r>
      </text>
    </comment>
    <comment ref="B13" authorId="0" shapeId="0" xr:uid="{00000000-0006-0000-0100-000005000000}">
      <text>
        <r>
          <rPr>
            <sz val="10"/>
            <color indexed="81"/>
            <rFont val="Tahoma"/>
            <family val="2"/>
          </rPr>
          <t>Ilmanvaihtokoneen palvelualue.</t>
        </r>
      </text>
    </comment>
    <comment ref="C13" authorId="0" shapeId="0" xr:uid="{00000000-0006-0000-0100-000006000000}">
      <text>
        <r>
          <rPr>
            <sz val="10"/>
            <color indexed="81"/>
            <rFont val="Tahoma"/>
            <family val="2"/>
          </rPr>
          <t>Ilmanvaihtokoneen käyttötavat esimerkiksi jatkuva käyttö,
päiväkäyttö,
yökäyttö,
poissaolo,
tehostus,
viikonloput 
tai joku muu esimerkiksi
käyttötapaan,
käyttöaikaan tai
ilmanvaihdon määrään 
liittyvä kuvaava termi.</t>
        </r>
      </text>
    </comment>
    <comment ref="B17" authorId="0" shapeId="0" xr:uid="{00000000-0006-0000-0100-000007000000}">
      <text>
        <r>
          <rPr>
            <sz val="8"/>
            <color indexed="81"/>
            <rFont val="Tahoma"/>
            <family val="2"/>
          </rPr>
          <t xml:space="preserve">Asetuksen mukaan rakennukset jaotellaan seuraaviin käyttötarkoitusluokkiin:
Luokka 1: Pienet asuinrakennukset
Luokka 2: Asuinkerrostalot, vähintään kolme asuinkerrosta
Luokka 3: Toimistorakennukset, terveyskeskukset
Luokka 4: Liikerakennukset
Luokka 5: Majoitusliikerakennukset
Luokka 6: Opetusrakennukset ja päiväkodit
Luokka 7: Liikuntahallit pois lukien uima- ja jäähallit
Luokka 8: Sairaalat
Luokka 9: Muut rakennukset
</t>
        </r>
      </text>
    </comment>
    <comment ref="C21" authorId="0" shapeId="0" xr:uid="{00000000-0006-0000-0100-000008000000}">
      <text>
        <r>
          <rPr>
            <sz val="10"/>
            <color indexed="81"/>
            <rFont val="Arial"/>
            <family val="2"/>
          </rPr>
          <t>Saadaan esimerkiksi rakennuksen lämpöhäviön tasauslaskimesta. Sisältää rakennusosien ja vuotoilman lämpöhäviön, mutta ei ilmanvaihdon lämpöhäviötä.
H = H</t>
        </r>
        <r>
          <rPr>
            <vertAlign val="subscript"/>
            <sz val="10"/>
            <color indexed="81"/>
            <rFont val="Arial"/>
            <family val="2"/>
          </rPr>
          <t>joht</t>
        </r>
        <r>
          <rPr>
            <sz val="10"/>
            <color indexed="81"/>
            <rFont val="Arial"/>
            <family val="2"/>
          </rPr>
          <t xml:space="preserve"> + H</t>
        </r>
        <r>
          <rPr>
            <vertAlign val="subscript"/>
            <sz val="10"/>
            <color indexed="81"/>
            <rFont val="Arial"/>
            <family val="2"/>
          </rPr>
          <t xml:space="preserve">vuotoilma
</t>
        </r>
        <r>
          <rPr>
            <sz val="10"/>
            <color indexed="81"/>
            <rFont val="Arial"/>
            <family val="2"/>
          </rPr>
          <t xml:space="preserve">Lämpöhäviö tulee määrittää niin, että se sisältää vain PILP:n vaikutusalueella olevien rakennuksen osien ja tilojen lämpöhäviön.
</t>
        </r>
      </text>
    </comment>
    <comment ref="C22" authorId="0" shapeId="0" xr:uid="{00000000-0006-0000-0100-000009000000}">
      <text>
        <r>
          <rPr>
            <sz val="10"/>
            <color indexed="81"/>
            <rFont val="Arial"/>
            <family val="2"/>
          </rPr>
          <t xml:space="preserve">Esimerkiksi talotekniikkajärjestelmän lämpöhäviö, joka on vakio ympäri vuoden eikä riipu ulkolämpötilasta.Häviö ei tule sisälle lämpökuormaksi. </t>
        </r>
      </text>
    </comment>
    <comment ref="C24" authorId="0" shapeId="0" xr:uid="{00000000-0006-0000-0100-00000A000000}">
      <text>
        <r>
          <rPr>
            <sz val="10"/>
            <color indexed="81"/>
            <rFont val="Tahoma"/>
            <family val="2"/>
          </rPr>
          <t>Asetus</t>
        </r>
      </text>
    </comment>
    <comment ref="C25" authorId="0" shapeId="0" xr:uid="{00000000-0006-0000-0100-00000B000000}">
      <text>
        <r>
          <rPr>
            <sz val="10"/>
            <color indexed="81"/>
            <rFont val="Tahoma"/>
            <family val="2"/>
          </rPr>
          <t>Asetus</t>
        </r>
      </text>
    </comment>
    <comment ref="C26" authorId="0" shapeId="0" xr:uid="{00000000-0006-0000-0100-00000C000000}">
      <text>
        <r>
          <rPr>
            <sz val="10"/>
            <color indexed="81"/>
            <rFont val="Tahoma"/>
            <family val="2"/>
          </rPr>
          <t>Asetus</t>
        </r>
      </text>
    </comment>
    <comment ref="D29" authorId="0" shapeId="0" xr:uid="{00000000-0006-0000-0100-00000D000000}">
      <text>
        <r>
          <rPr>
            <sz val="10"/>
            <color indexed="81"/>
            <rFont val="Tahoma"/>
            <family val="2"/>
          </rPr>
          <t>RakMk osa D5/2012</t>
        </r>
      </text>
    </comment>
    <comment ref="E29" authorId="0" shapeId="0" xr:uid="{00000000-0006-0000-0100-00000E000000}">
      <text>
        <r>
          <rPr>
            <sz val="10"/>
            <color indexed="81"/>
            <rFont val="Tahoma"/>
            <family val="2"/>
          </rPr>
          <t>RakMk osa D5/2012</t>
        </r>
      </text>
    </comment>
    <comment ref="C42" authorId="1" shapeId="0" xr:uid="{00000000-0006-0000-0100-00000F000000}">
      <text>
        <r>
          <rPr>
            <sz val="9"/>
            <color indexed="81"/>
            <rFont val="Tahoma"/>
            <family val="2"/>
          </rPr>
          <t>Esim. Asetuksen 12 § mukainen kulutusarvo. Mikäli poistoilmalämpöpumppua ei ole suunniteltu lämmittämään käyttövettä loppulämpötilaan tai muutoin kokonaisuudessaan, tulee poistoilmalämpöpumpun osuus käyttöveden lämmityksestä tulee arvioida erikseen.
Huom. Jos lauhdutin on tuloilmassa, ei käyttöveden lämmitystä lasketa mukaan (arvo punaisella).</t>
        </r>
      </text>
    </comment>
    <comment ref="C43" authorId="1" shapeId="0" xr:uid="{00000000-0006-0000-0100-000010000000}">
      <text>
        <r>
          <rPr>
            <sz val="9"/>
            <color indexed="81"/>
            <rFont val="Tahoma"/>
            <family val="2"/>
          </rPr>
          <t>Esim. RakMk osan D5 (2012) taulukon 6.3b mukainen varastoinnin vuotuinen lämpöhäviö.
Oletusarvona on 10 % käyttöveden lämmityksen tarvitsemasta lämmitysenergiasta.
Huom. Jos lauhdutin on tuloilmassa, ei käyttöveden lämpöhäviöenergiaa lasketa mukaan (arvo punaisella).</t>
        </r>
      </text>
    </comment>
    <comment ref="C46" authorId="0" shapeId="0" xr:uid="{00000000-0006-0000-0100-000011000000}">
      <text>
        <r>
          <rPr>
            <sz val="10"/>
            <color indexed="81"/>
            <rFont val="Tahoma"/>
            <family val="2"/>
          </rPr>
          <t xml:space="preserve">Esimerkiksi lämmityskauden keskimääräisessä toimintapisteessä määritetty täyden tehon lämpökerroin.
</t>
        </r>
      </text>
    </comment>
    <comment ref="C47" authorId="0" shapeId="0" xr:uid="{00000000-0006-0000-0100-000012000000}">
      <text>
        <r>
          <rPr>
            <sz val="10"/>
            <color indexed="81"/>
            <rFont val="Tahoma"/>
            <family val="2"/>
          </rPr>
          <t>Esimerkiksi lämmityskauden keskimääräisessä toimintapisteessä määritetty täyden tehon kompressorin sähköteho, W.
Sähköteho saadaan yleensä tuotetiedoista.</t>
        </r>
      </text>
    </comment>
    <comment ref="B48" authorId="0" shapeId="0" xr:uid="{00000000-0006-0000-0100-000013000000}">
      <text>
        <r>
          <rPr>
            <sz val="10"/>
            <color indexed="10"/>
            <rFont val="Tahoma"/>
            <family val="2"/>
          </rPr>
          <t xml:space="preserve">Huom. tarkista poistoilman minimilämpötilat, jos muutat höyrystimen sijaintia !
</t>
        </r>
      </text>
    </comment>
    <comment ref="C51" authorId="0" shapeId="0" xr:uid="{00000000-0006-0000-0100-000014000000}">
      <text>
        <r>
          <rPr>
            <sz val="10"/>
            <color indexed="81"/>
            <rFont val="Tahoma"/>
            <family val="2"/>
          </rPr>
          <t>Tuloilman lämpötilasuhde (0...1) käyttöajan keskimääräisellä ilmavirralla 
Esimerkiksi 0,50.
Jos arvo on 0, niin lämmöntalteenoton vuosihyötysuhde lasketaan ilman LTO-siirrintä.</t>
        </r>
      </text>
    </comment>
    <comment ref="C55" authorId="0" shapeId="0" xr:uid="{00000000-0006-0000-0100-000015000000}">
      <text>
        <r>
          <rPr>
            <sz val="10"/>
            <color indexed="81"/>
            <rFont val="Tahoma"/>
            <family val="2"/>
          </rPr>
          <t>Ilmanvaihtokoneen palvelualueen keskimääräinen huonelämpötila lämmityskaudella. Yleensä 21 °C.</t>
        </r>
      </text>
    </comment>
    <comment ref="C56" authorId="0" shapeId="0" xr:uid="{00000000-0006-0000-0100-000016000000}">
      <text>
        <r>
          <rPr>
            <sz val="10"/>
            <color indexed="81"/>
            <rFont val="Tahoma"/>
            <family val="2"/>
          </rPr>
          <t>Ohje:
Jäteilman minimilämpötila lämmöntalteenoton jälkeen jäätymissuojauksen takia. Arvo saadaan yleensä ilmanvaihtosuunnittelijalta tai laitevalmistajalta.
Asuinrakennuksissa jäteilman minimilämpötila LTO:n jälkeen voi olla esimerkiksi +5 °C ja kuivissa toimistorakennuksissa esimerkiksi 0 °C.
Jos PILP:n höyrystin on ennen LTO:a, LTO:n jäätymissuojauksen minimilämpötilan tulee olla PILP:n jäätymissuojauksen minimilämpötilaa pienempi.
Ja päinvastoin.
Tasauslaskentaopas 2012.</t>
        </r>
      </text>
    </comment>
    <comment ref="C57" authorId="0" shapeId="0" xr:uid="{00000000-0006-0000-0100-000017000000}">
      <text>
        <r>
          <rPr>
            <sz val="10"/>
            <color indexed="81"/>
            <rFont val="Tahoma"/>
            <family val="2"/>
          </rPr>
          <t>Ohje:
Jäteilman minimilämpötila poistoilmalämpöpumpun höyrystimen jälkeen jäätymissuojauksen takia. Arvo saadaan yleensä ilmanvaihtosuunnittelijalta tai laitevalmistajalta.
Jos PILP:n höyrystin on LTO:n jälkeen, PILP:n jäätymissuojauksen minimilämpötilan tulee olla LTO:n jäätymissuojauksen minimilämpötilaa pienempi. 
Ja päin vastoin.</t>
        </r>
      </text>
    </comment>
    <comment ref="C58" authorId="0" shapeId="0" xr:uid="{00000000-0006-0000-0100-000018000000}">
      <text>
        <r>
          <rPr>
            <sz val="10"/>
            <color indexed="81"/>
            <rFont val="Tahoma"/>
            <family val="2"/>
          </rPr>
          <t>Ohje:
Lämmittää tuloilmaa tarvittaessa kovilla pakkasilla. Sopiva asetusarvo on esimerkiksi 15 °C. Liian korkea asetusarvo saattaa johtaa virheellisiin laskentatuloksiin. Asetusarvon maksimiarvo on rajoitettu ohjelmallisesti huoneilman lämpötilaan.</t>
        </r>
      </text>
    </comment>
    <comment ref="C59" authorId="0" shapeId="0" xr:uid="{00000000-0006-0000-0100-000019000000}">
      <text>
        <r>
          <rPr>
            <sz val="9"/>
            <color indexed="81"/>
            <rFont val="Tahoma"/>
            <family val="2"/>
          </rPr>
          <t xml:space="preserve">Jos PILP:n lauhdutin on varajaassa, niin tuloilman jälkilämmitykseen:
voidaan käyttää PILP:n tuottaa lämpöä, jolloin solun arvo on 1 
tai 
ei voida käyttää PILP:n tuottaa lämpöä, jolloin solun arvo on 0. 
</t>
        </r>
      </text>
    </comment>
    <comment ref="C63" authorId="0" shapeId="0" xr:uid="{00000000-0006-0000-0100-00001A000000}">
      <text>
        <r>
          <rPr>
            <sz val="10"/>
            <color indexed="81"/>
            <rFont val="Tahoma"/>
            <family val="2"/>
          </rPr>
          <t>Kopioi säävyöhykettä I (II) (Helsinki-Vantaa) vastaava arvo "Ilmanvaihto"-välilehdelle tai suoraan tasauslaskentalomakkeeseen
(kopiointi ilman muotoiluja).</t>
        </r>
      </text>
    </comment>
    <comment ref="C65" authorId="0" shapeId="0" xr:uid="{00000000-0006-0000-0100-00001B000000}">
      <text>
        <r>
          <rPr>
            <sz val="10"/>
            <color indexed="81"/>
            <rFont val="Tahoma"/>
            <family val="2"/>
          </rPr>
          <t xml:space="preserve">Jotta lämmöntalteenotto olisi mahdollista, poistoilmalämpöpumpun kompressori kuluttaa sähköä. Tässä esitetään kompressorin sähkönkulutus lämmityskauden aikana (ulkoilman lämpötila on alle +12 °C.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author>
  </authors>
  <commentList>
    <comment ref="CB11" authorId="0" shapeId="0" xr:uid="{00000000-0006-0000-0800-000001000000}">
      <text>
        <r>
          <rPr>
            <b/>
            <sz val="9"/>
            <color indexed="81"/>
            <rFont val="Tahoma"/>
            <family val="2"/>
          </rPr>
          <t xml:space="preserve">otetaan huomioon ilmanvaihdon käynti 1 h ennen ja 1 h jälkeen, ne poistetaan kuormista 
</t>
        </r>
      </text>
    </comment>
    <comment ref="C21" authorId="0" shapeId="0" xr:uid="{00000000-0006-0000-0800-000002000000}">
      <text>
        <r>
          <rPr>
            <b/>
            <sz val="9"/>
            <color indexed="81"/>
            <rFont val="Tahoma"/>
            <family val="2"/>
          </rPr>
          <t>Rekuperaatioaste:
yleensä 0,2 … 0,5</t>
        </r>
      </text>
    </comment>
  </commentList>
</comments>
</file>

<file path=xl/sharedStrings.xml><?xml version="1.0" encoding="utf-8"?>
<sst xmlns="http://schemas.openxmlformats.org/spreadsheetml/2006/main" count="1045" uniqueCount="370">
  <si>
    <t>Käyttötapa</t>
  </si>
  <si>
    <t>Mitoitus-</t>
  </si>
  <si>
    <t>Käyttö-</t>
  </si>
  <si>
    <t>Käyttöajan</t>
  </si>
  <si>
    <t>Käyntiaikatekijät</t>
  </si>
  <si>
    <t>Apusarake</t>
  </si>
  <si>
    <t>poistoilmavirta</t>
  </si>
  <si>
    <t>iImavirta-</t>
  </si>
  <si>
    <t>keskimääräinen</t>
  </si>
  <si>
    <t>painotettu</t>
  </si>
  <si>
    <t>m³/s</t>
  </si>
  <si>
    <t>kerroin</t>
  </si>
  <si>
    <t>poistoilmavirta, m³/s</t>
  </si>
  <si>
    <t>h/vrk</t>
  </si>
  <si>
    <t>vrk/vko</t>
  </si>
  <si>
    <t>jatkuva käyttö</t>
  </si>
  <si>
    <t>Poistoilman lämmöntalteenottovaatimuksen</t>
  </si>
  <si>
    <t>Kone</t>
  </si>
  <si>
    <t>Palvelualue</t>
  </si>
  <si>
    <t>Aputaulukot, joilla voidaan laskea lämpöhäviöiden tasauslaskennassa tarvittavat</t>
  </si>
  <si>
    <t>Taulukko 1. Lämpimät tilat</t>
  </si>
  <si>
    <t>Taulukko 2. Lämpimät tilat</t>
  </si>
  <si>
    <t>Taulukko 3. Puolilämpimät tilat</t>
  </si>
  <si>
    <t>Taulukko 4. Puolilämpimät tilat</t>
  </si>
  <si>
    <t>Pysyvyys</t>
  </si>
  <si>
    <t>kWh/a</t>
  </si>
  <si>
    <t>Poistoilman lämpötilasuhde</t>
  </si>
  <si>
    <t>dm³/s</t>
  </si>
  <si>
    <t>Säävyöhyke</t>
  </si>
  <si>
    <t>Tuloilman lämpötilasuhde</t>
  </si>
  <si>
    <t>°C</t>
  </si>
  <si>
    <t xml:space="preserve">Taulukko 1. Poistoilman lämmöntalteenottovaatimuksen piiriin kuuluvat lämpimien tilojen ilmanvaihtokoneet </t>
  </si>
  <si>
    <t>Taulukko 2. Poistoilman lämmöntalteenottovaatimuksen piiriin kuulumattomat lämpimien tilojen ilmanvaihtokoneet</t>
  </si>
  <si>
    <t>Taulukko 3. Poistoilman lämmöntalteenottovaatimuksen piiriin kuuluvat puolilämpimien tilojen ilmanvaihtokoneet</t>
  </si>
  <si>
    <t>Taulukko 4. Poistoilman lämmöntalteenottovaatimuksen piiriin kuulumattomat puolilämpimien tilojen ilmanvaihtokoneet</t>
  </si>
  <si>
    <t>piiriin kuuluvat ilmanvaihtokoneet</t>
  </si>
  <si>
    <t>piiriin kuulumattomat ilmanvaihtokoneet</t>
  </si>
  <si>
    <t>Tuloilman lämpötilasuhde yhtäsuurilla ilmavirroilla</t>
  </si>
  <si>
    <t>Rakennuskohde</t>
  </si>
  <si>
    <t>Rakennuslupatunnus</t>
  </si>
  <si>
    <t>Rakennustyyppi</t>
  </si>
  <si>
    <t>Pääsuunnittelija</t>
  </si>
  <si>
    <t>Päiväys</t>
  </si>
  <si>
    <t>Laskelman tekijä</t>
  </si>
  <si>
    <t xml:space="preserve">keskimääräiset poistoilmavirrat ja ilmanvaihdon lämmöntalteenoton (LTO) vuosihyötysuhteet, </t>
  </si>
  <si>
    <t>kun rakennuksessa on useita ilmanvaihtokoneita ja niillä erilaisia käyttöaikoja.</t>
  </si>
  <si>
    <t>Koko rakennus</t>
  </si>
  <si>
    <t>Helsinki TRY 2012 testivuosi</t>
  </si>
  <si>
    <t>Huippuimuri</t>
  </si>
  <si>
    <t>Keittiön liesikupu</t>
  </si>
  <si>
    <t>Tehostus</t>
  </si>
  <si>
    <t>Muulloin</t>
  </si>
  <si>
    <t>1-kerroksinen pientalo, ikkunapinta-ala 15 % kerrostasoalasta.</t>
  </si>
  <si>
    <t>- " -</t>
  </si>
  <si>
    <t>RET-pientalo</t>
  </si>
  <si>
    <t>Ilmanvaihtokoneen</t>
  </si>
  <si>
    <t>Käyntiajoilla</t>
  </si>
  <si>
    <t>Ilmanvaihtojärjestelmän ominaissähköteho, kW/(m³/s)</t>
  </si>
  <si>
    <t>ominaissähköteho</t>
  </si>
  <si>
    <t>kW/(m³/s)</t>
  </si>
  <si>
    <t>sähkönkulutus,</t>
  </si>
  <si>
    <t>Ilmanvaihtojärjestelmän sähkönkulutus, 
kWh/a</t>
  </si>
  <si>
    <t>LTO:n vuosihyötysuhde,</t>
  </si>
  <si>
    <r>
      <t>t</t>
    </r>
    <r>
      <rPr>
        <vertAlign val="subscript"/>
        <sz val="10"/>
        <rFont val="Arial"/>
        <family val="2"/>
      </rPr>
      <t>d</t>
    </r>
  </si>
  <si>
    <r>
      <t>t</t>
    </r>
    <r>
      <rPr>
        <vertAlign val="subscript"/>
        <sz val="10"/>
        <rFont val="Arial"/>
        <family val="2"/>
      </rPr>
      <t>w</t>
    </r>
  </si>
  <si>
    <t>PILP</t>
  </si>
  <si>
    <t>Poistoilmavirta</t>
  </si>
  <si>
    <t>W/m²</t>
  </si>
  <si>
    <t>m²</t>
  </si>
  <si>
    <t>Lämmitetty nettoala</t>
  </si>
  <si>
    <t>Qaur, W/m²</t>
  </si>
  <si>
    <t>Qaur, Wh/m²</t>
  </si>
  <si>
    <t>P</t>
  </si>
  <si>
    <t>Ko</t>
  </si>
  <si>
    <t>I</t>
  </si>
  <si>
    <t>Ka</t>
  </si>
  <si>
    <t>E</t>
  </si>
  <si>
    <t>Lo</t>
  </si>
  <si>
    <t>L</t>
  </si>
  <si>
    <t>Lu</t>
  </si>
  <si>
    <t>Ikkunapinta-ala, m²</t>
  </si>
  <si>
    <t>W</t>
  </si>
  <si>
    <t>Muu kuorma</t>
  </si>
  <si>
    <t>Yhteensä</t>
  </si>
  <si>
    <t>Poistoilma-lämpöpumpun lämpökerroin</t>
  </si>
  <si>
    <t>W/K</t>
  </si>
  <si>
    <t>H, W</t>
  </si>
  <si>
    <t>poisto</t>
  </si>
  <si>
    <t>tulo</t>
  </si>
  <si>
    <t>Qlämpökuorma</t>
  </si>
  <si>
    <t>Qlämpöhäviö</t>
  </si>
  <si>
    <t>-</t>
  </si>
  <si>
    <t>h</t>
  </si>
  <si>
    <t>Kompr. maksimiteho, W</t>
  </si>
  <si>
    <t>Höyrystimen maksimiteho, W</t>
  </si>
  <si>
    <t>g-arvo</t>
  </si>
  <si>
    <t>Pohjoinen</t>
  </si>
  <si>
    <t>Koillinen</t>
  </si>
  <si>
    <t>Itä</t>
  </si>
  <si>
    <t>Kaakko</t>
  </si>
  <si>
    <t>Etelä</t>
  </si>
  <si>
    <t>Lounas</t>
  </si>
  <si>
    <t>Länsi</t>
  </si>
  <si>
    <t>Luode</t>
  </si>
  <si>
    <t>Lämpökuormat</t>
  </si>
  <si>
    <t>Vaipan ominais-lämpöhäviö Hvaippa+vuotoilma, W</t>
  </si>
  <si>
    <t>Qilmanvaihto, netto</t>
  </si>
  <si>
    <t>Qilmanvaihto, tarve yhteensä</t>
  </si>
  <si>
    <t>Qilman-vaihto, brutto, lämmön-tarve yhteensä</t>
  </si>
  <si>
    <t>Qilman-vaihto, netto, LTO ja maalämpö vähennetty</t>
  </si>
  <si>
    <t>Lämpö-kuormat yhteensä</t>
  </si>
  <si>
    <t>Lämpöhäviöteho huoneessa (vaippa + ilmanvaihto huoneessa = rakennusosat + vuotoilma + tuloilma tilassa + korvausilma)</t>
  </si>
  <si>
    <t>Qlkv</t>
  </si>
  <si>
    <t>kWh/m², a</t>
  </si>
  <si>
    <t>lkv, D3/2012</t>
  </si>
  <si>
    <t>Qjärjestelmä</t>
  </si>
  <si>
    <t>Qlämmitys, lisäteho</t>
  </si>
  <si>
    <t>Qlkv, käyttöveden lämmityksen nettotehon-tarve</t>
  </si>
  <si>
    <t>Qhöyrystin, jossa ei ole ulkoilmasta otettu lämpöä</t>
  </si>
  <si>
    <t>Qhöyrystin4</t>
  </si>
  <si>
    <t>kWh</t>
  </si>
  <si>
    <t>Jakso</t>
  </si>
  <si>
    <t>PILP:n LTO:n vuosihyötysuhde</t>
  </si>
  <si>
    <t>nt</t>
  </si>
  <si>
    <t>+</t>
  </si>
  <si>
    <t>R</t>
  </si>
  <si>
    <t>LTO</t>
  </si>
  <si>
    <t>np</t>
  </si>
  <si>
    <t>na</t>
  </si>
  <si>
    <t>Ulkolämpötila</t>
  </si>
  <si>
    <t>Ulkoilman lämpötila esilämmityksen jälkeen</t>
  </si>
  <si>
    <t>Lämmitysraja, ulkolämpötila on 12 °C</t>
  </si>
  <si>
    <t>Poistoilmalämpöpumpun kompressorin sähköteho</t>
  </si>
  <si>
    <t>Rakennuksen vaipan ja vuotoilman ominaislämpöhäviö</t>
  </si>
  <si>
    <t>Höyr</t>
  </si>
  <si>
    <t>LTO+maa</t>
  </si>
  <si>
    <t>Suuntauksen muuntokerroin (talvikuukaudet)</t>
  </si>
  <si>
    <r>
      <t>F</t>
    </r>
    <r>
      <rPr>
        <vertAlign val="subscript"/>
        <sz val="10"/>
        <rFont val="Arial"/>
        <family val="2"/>
      </rPr>
      <t>läpäisy</t>
    </r>
  </si>
  <si>
    <t xml:space="preserve">Muu lämmitys: </t>
  </si>
  <si>
    <t xml:space="preserve">PILPtilat: </t>
  </si>
  <si>
    <t xml:space="preserve">PILP yhteensä: </t>
  </si>
  <si>
    <t xml:space="preserve">PILPilmanvaihto: </t>
  </si>
  <si>
    <t xml:space="preserve">Hyödynnetyt lämpökuormat: </t>
  </si>
  <si>
    <t xml:space="preserve">PILP: </t>
  </si>
  <si>
    <t xml:space="preserve">B: </t>
  </si>
  <si>
    <t xml:space="preserve">Kompressorin sähkö: </t>
  </si>
  <si>
    <t>Lämpökuorma valaistuksesta</t>
  </si>
  <si>
    <t>Lämpökuorma kuluttajalaitteista</t>
  </si>
  <si>
    <t>Lämpökuorma ihmisistä</t>
  </si>
  <si>
    <t>Lemmi Pumppu</t>
  </si>
  <si>
    <t>Pinta-ala, m²</t>
  </si>
  <si>
    <r>
      <t>Poistoilmalämpöpumpun lämmöntalteenoton vuosihyötysuhde (η</t>
    </r>
    <r>
      <rPr>
        <b/>
        <vertAlign val="subscript"/>
        <sz val="10"/>
        <rFont val="Arial"/>
        <family val="2"/>
      </rPr>
      <t>a, PILP</t>
    </r>
    <r>
      <rPr>
        <b/>
        <sz val="10"/>
        <rFont val="Arial"/>
        <family val="2"/>
      </rPr>
      <t>)</t>
    </r>
  </si>
  <si>
    <t>Ikkunoiden tiedot ilmansuunnittain</t>
  </si>
  <si>
    <t>Läpäisykerroin (g x Fläpäisy)</t>
  </si>
  <si>
    <t>Poistoilmalämpöpumpun lämpökerroin, COP</t>
  </si>
  <si>
    <r>
      <t>poistoilmalämpöpumpun lämmöntalteenoton vuosihyötysuhde (η</t>
    </r>
    <r>
      <rPr>
        <b/>
        <vertAlign val="subscript"/>
        <sz val="11"/>
        <rFont val="Arial"/>
        <family val="2"/>
      </rPr>
      <t>a, PILP</t>
    </r>
    <r>
      <rPr>
        <b/>
        <sz val="10"/>
        <rFont val="Arial"/>
        <family val="2"/>
      </rPr>
      <t>).</t>
    </r>
  </si>
  <si>
    <t>Lämpötilat:</t>
  </si>
  <si>
    <t>LTO-lämmönsiirtimen tiedot:</t>
  </si>
  <si>
    <t xml:space="preserve">LTO: </t>
  </si>
  <si>
    <t xml:space="preserve">A: </t>
  </si>
  <si>
    <t>Huoneilman eli poistoilman lämpötila</t>
  </si>
  <si>
    <t>Vakioteho ympäri vuoden, esimerkiksi järjestelmän lämpöhäviö ympäristöön</t>
  </si>
  <si>
    <t>Rakennuksen muu vakiolämmitystarve</t>
  </si>
  <si>
    <t>Jos 1, niin LTO on ennen höyrystintä, jos 2 tai muu, niin sen jälkeen</t>
  </si>
  <si>
    <t xml:space="preserve">Tuloilman jälkilämmitys: </t>
  </si>
  <si>
    <t>Lämpökuormien laskenta</t>
  </si>
  <si>
    <t>Höyrystin</t>
  </si>
  <si>
    <t xml:space="preserve">UILP: </t>
  </si>
  <si>
    <t>Laskentataulukko, jolla voidaan laskea lämpöhäviöiden tasauslaskentaa varten</t>
  </si>
  <si>
    <t>Laskentataulukko, älä tuhoa</t>
  </si>
  <si>
    <t>pelkkä LTO-lämmönsiirrinratkaisu.</t>
  </si>
  <si>
    <t xml:space="preserve">Tällä voidaan laskea myös PILP:n ja LTO-lämmönsiirtimen yhdistelmä ja </t>
  </si>
  <si>
    <t>Poistoilmalämpöpumpun tiedot:</t>
  </si>
  <si>
    <t>Tuloilman jälkilämmityksen asetuslämpötila</t>
  </si>
  <si>
    <t>Jatk.käyttö</t>
  </si>
  <si>
    <t>TASAUSLASKENTA-LOMAKKEESEEN</t>
  </si>
  <si>
    <r>
      <t>Poistoilmavirta, m³ 
[q</t>
    </r>
    <r>
      <rPr>
        <vertAlign val="subscript"/>
        <sz val="10"/>
        <rFont val="Arial"/>
        <family val="2"/>
      </rPr>
      <t>v, p</t>
    </r>
    <r>
      <rPr>
        <sz val="10"/>
        <rFont val="Arial"/>
        <family val="2"/>
      </rPr>
      <t>]</t>
    </r>
  </si>
  <si>
    <r>
      <t>Ilmanvaihdon LTO:n vuosihyötysuhde, %  [</t>
    </r>
    <r>
      <rPr>
        <sz val="10"/>
        <rFont val="Arial"/>
        <family val="2"/>
      </rPr>
      <t>η</t>
    </r>
    <r>
      <rPr>
        <vertAlign val="subscript"/>
        <sz val="10"/>
        <rFont val="Arial"/>
        <family val="2"/>
      </rPr>
      <t>a</t>
    </r>
    <r>
      <rPr>
        <sz val="10"/>
        <rFont val="Arial"/>
        <family val="2"/>
      </rPr>
      <t>]</t>
    </r>
  </si>
  <si>
    <r>
      <t>% [η</t>
    </r>
    <r>
      <rPr>
        <vertAlign val="subscript"/>
        <sz val="10"/>
        <rFont val="Arial"/>
        <family val="2"/>
      </rPr>
      <t>a, ivkone</t>
    </r>
    <r>
      <rPr>
        <sz val="10"/>
        <rFont val="Arial"/>
        <family val="2"/>
      </rPr>
      <t>]</t>
    </r>
  </si>
  <si>
    <t>Lämpimän käyttöveden vuotuinen lämmitysenergiankulutus</t>
  </si>
  <si>
    <t>kWh/m²/a</t>
  </si>
  <si>
    <t>Lämpimän käyttöveden vuotuinen lämpöhäviöenergia</t>
  </si>
  <si>
    <t>Tx</t>
  </si>
  <si>
    <t>Tz</t>
  </si>
  <si>
    <t>Ty</t>
  </si>
  <si>
    <t>Tt</t>
  </si>
  <si>
    <t>Tt2</t>
  </si>
  <si>
    <t>Tj</t>
  </si>
  <si>
    <t>Tx,min</t>
  </si>
  <si>
    <t>Tz,min</t>
  </si>
  <si>
    <t>Tj,min</t>
  </si>
  <si>
    <t>Lauhduttimen maksimiteho, W</t>
  </si>
  <si>
    <t>Tu</t>
  </si>
  <si>
    <t>Tt2,min</t>
  </si>
  <si>
    <t>Ty,max</t>
  </si>
  <si>
    <t>Tp</t>
  </si>
  <si>
    <t>Jälkilämm.</t>
  </si>
  <si>
    <t>Tt,max</t>
  </si>
  <si>
    <t>Jos 1, niin lauhdutin on tuloilmassa, jos 2, niin lauhdutin on varaajassa</t>
  </si>
  <si>
    <t>1. Lauhdutin on tuloilmassa</t>
  </si>
  <si>
    <t>2. Lauhdutin on varaajassa</t>
  </si>
  <si>
    <t>Poistoilmalämpöpumpun tuottama lämpöä käytetään käyttöveden lämmittämiseen:</t>
  </si>
  <si>
    <t>Aur.kuorma</t>
  </si>
  <si>
    <t>Aur.kuorma keskimäärin, W</t>
  </si>
  <si>
    <t>Sisäiset lämpökuormat yhteensä</t>
  </si>
  <si>
    <t>Auringon lämpökuorma</t>
  </si>
  <si>
    <t xml:space="preserve">Tuloilman lämmitys: </t>
  </si>
  <si>
    <t xml:space="preserve">Tilojen lämmitys: </t>
  </si>
  <si>
    <t xml:space="preserve">Käyttöveden lämmitys: </t>
  </si>
  <si>
    <t>Oletusarvot</t>
  </si>
  <si>
    <t>Ilmanvaihdon käyttöaika vuorokaudessa</t>
  </si>
  <si>
    <t>vrk/viikko</t>
  </si>
  <si>
    <t>Ilmanvaihdon käyttöaika viikossa</t>
  </si>
  <si>
    <t>Sisäiset lämpökuormat käyttöaikana</t>
  </si>
  <si>
    <t>Auringon lämpökuormat ikkunoiden läpi, W</t>
  </si>
  <si>
    <t>Auringon lämpökuorma käyttöaikana keskimäärin</t>
  </si>
  <si>
    <t>W (käyttöaika)</t>
  </si>
  <si>
    <t>LKVvaraaja</t>
  </si>
  <si>
    <t>LKV-varaajan häviöt</t>
  </si>
  <si>
    <t>Käyttöajat</t>
  </si>
  <si>
    <t>Ilmanvaihto</t>
  </si>
  <si>
    <t>td</t>
  </si>
  <si>
    <t>tw</t>
  </si>
  <si>
    <t>Sisäiset kuormat</t>
  </si>
  <si>
    <t>Aurinkokuormat</t>
  </si>
  <si>
    <t>IV käyntiaikakerroin</t>
  </si>
  <si>
    <t>Tx,min rajoittaa PILP:n höyrystimen jälkeistä lämpötilaa rajoitusarvon ja ulkolämpötilan mukaan. Rajoitusarvo riippuu laitteen ominaisuuksista ja jäätymissuojauksesta. Ulkolämpötilan alle ei voi tasauslaskennassa jäähdyttää, koska ulkoilmalämpöpumpun tuottoa ei lasketa mukaan.</t>
  </si>
  <si>
    <t>Tu on ulkoilman lämpötila ennen LTO:a</t>
  </si>
  <si>
    <t>Tz on poistoilman lämpötila LTO:n jälkeen</t>
  </si>
  <si>
    <t>Tx on poistoilman lämpötila PILP:n höyrystimen jälkeen</t>
  </si>
  <si>
    <t>Ty on tuloilman lämpötila LTO:n jälkeen</t>
  </si>
  <si>
    <t>Tt on tuloilman lämpötila PILP:n lauhduttimen jälkeen</t>
  </si>
  <si>
    <t>Tt2 on tuloilman lämpötila jälkilämmityksen jälkeen</t>
  </si>
  <si>
    <t>turha?</t>
  </si>
  <si>
    <t>Näistä haetaan rajoitukset ja asetukset</t>
  </si>
  <si>
    <t>Kompr. tod. teho, W</t>
  </si>
  <si>
    <t>Höyrystimen tod. teho, W</t>
  </si>
  <si>
    <t>Lauhduttimen tod. teho, W</t>
  </si>
  <si>
    <t>Tp-Tx</t>
  </si>
  <si>
    <t>LTO:n teho</t>
  </si>
  <si>
    <t>IV:n teho brutto</t>
  </si>
  <si>
    <t>Tuloilman jälkilämmitysteho</t>
  </si>
  <si>
    <t>IV:n teho netto tiloissa</t>
  </si>
  <si>
    <t>hyödynnetyt lämpökuormat</t>
  </si>
  <si>
    <t>lämpökuormat</t>
  </si>
  <si>
    <t>Qlämmitys</t>
  </si>
  <si>
    <t>iter</t>
  </si>
  <si>
    <t>=CO22</t>
  </si>
  <si>
    <t>Lauhduttimen lämmön tarpeella rajoitettu teho, W</t>
  </si>
  <si>
    <t>Höyrystimen  lämmön tarpeella rajoitettu teho, W</t>
  </si>
  <si>
    <t>Kompr. raj teho, lauhdutintehon mukaan W</t>
  </si>
  <si>
    <t>Kompr. raj. teho, höyrystintehon mukaan W</t>
  </si>
  <si>
    <t>paste</t>
  </si>
  <si>
    <t>Qkompr.</t>
  </si>
  <si>
    <t>Qlauhd.</t>
  </si>
  <si>
    <t>Qhöyryst.</t>
  </si>
  <si>
    <t>=C23</t>
  </si>
  <si>
    <t>Lähtötiedot</t>
  </si>
  <si>
    <t>Laskentatiedot</t>
  </si>
  <si>
    <t>Annettu lämpötilahyötysuhde</t>
  </si>
  <si>
    <t>Tp om poistoilman lämpötila</t>
  </si>
  <si>
    <t>Tj on jäteilman lämpötila PILP:n höyrystimen jälkeen</t>
  </si>
  <si>
    <t>LÄM</t>
  </si>
  <si>
    <t>=F22</t>
  </si>
  <si>
    <t>Qmuu lämmitys</t>
  </si>
  <si>
    <t>=$AO24-$AJ24-$AK24</t>
  </si>
  <si>
    <t>=$C23</t>
  </si>
  <si>
    <t>=$F22</t>
  </si>
  <si>
    <t>=$CO22</t>
  </si>
  <si>
    <r>
      <t>F</t>
    </r>
    <r>
      <rPr>
        <vertAlign val="subscript"/>
        <sz val="10"/>
        <color theme="0"/>
        <rFont val="Arial"/>
        <family val="2"/>
      </rPr>
      <t>läpäisy</t>
    </r>
  </si>
  <si>
    <t>Kompr. teho, W</t>
  </si>
  <si>
    <t>Höyrystimen teho, W</t>
  </si>
  <si>
    <t>Lauhduttimen teho, W</t>
  </si>
  <si>
    <t>=($AN$21=1)*AN24+($AL$21=1)*AL24+($AM$21=1)*AM24</t>
  </si>
  <si>
    <t>ok</t>
  </si>
  <si>
    <t>1. Höyrystin poistoilmassa ennen LTO:a ja lauhdutin tuloilmassa</t>
  </si>
  <si>
    <t>2. Höyrystin jäteilmassa LTO:n jälkeen ja lauhdutin tuloilmassa</t>
  </si>
  <si>
    <t>3. Höyrystin jäteilmassa LTO:n jälkeen ja lauhdutin varaajassa</t>
  </si>
  <si>
    <t>4. Höyrystin poistoilmassa ennen LTO:a  ja lauhdutin varaajassa</t>
  </si>
  <si>
    <t>Tp on poistoilman lämpötila</t>
  </si>
  <si>
    <t>Poistoilman lämpötila</t>
  </si>
  <si>
    <t>B</t>
  </si>
  <si>
    <t>Tuloilman jälkilämmitys</t>
  </si>
  <si>
    <t>UILP</t>
  </si>
  <si>
    <t>Tx,min rajoittaa PILP:n höyrystimen jälkeistä lämpötilaa rajoitusarvon ja ulkolämpötilan mukaan. Rajoitusarvo riippuu laitteen ominaisuuksista ja jäätymissuojauksesta. Ulkolämpötilan alle ei voi tasauslaskennassa jäähdyttää, koska ulkoilmalämpöpumpun tuottoa ei lasketa mukaan. Päivitetty TF9=1, niin saa jäähdyttää alle ulkoilman lämpötilan.</t>
  </si>
  <si>
    <t xml:space="preserve">LTO:n vuosihyötysuhde: </t>
  </si>
  <si>
    <t>Qlkv, käyttöveden lämmityksen energia</t>
  </si>
  <si>
    <t>LKV-varaajan häviöenergia</t>
  </si>
  <si>
    <t>Vakioenergia ympäri vuoden, esimerkiksi järjestelmän lämpöhäviö ympäristöön</t>
  </si>
  <si>
    <t>Qvakioenergia</t>
  </si>
  <si>
    <t>Ulkoilman lämpötila</t>
  </si>
  <si>
    <t>Tx, Tj, PILP</t>
  </si>
  <si>
    <t>Tz, LTO</t>
  </si>
  <si>
    <t>Ty, LTO</t>
  </si>
  <si>
    <t>Tt, PILP</t>
  </si>
  <si>
    <t>Tt2, LÄM</t>
  </si>
  <si>
    <t>Poistoilman lämpötila PILP:n höyrystimen jälkeen</t>
  </si>
  <si>
    <t>Poistoilman lämpötila LTO:n jälkeen</t>
  </si>
  <si>
    <t>Tuloilman lämpötila PILP:n lauhduttimen jälkeen</t>
  </si>
  <si>
    <t>Tuloilman lämpötila LTO:n jälkeen</t>
  </si>
  <si>
    <t>Tuloilman lämpötila jälkilämmityksen jälkeen</t>
  </si>
  <si>
    <t>IV-brutto</t>
  </si>
  <si>
    <t>Tuloilman lämpötila bruttolämmöntarpeen mukaan</t>
  </si>
  <si>
    <t xml:space="preserve">Qlämmitys, koko lämmönatarve - hyödynnetyt lämpökuormat, joka voidaan kattaa PILP:llä </t>
  </si>
  <si>
    <t>Muu lämmitys (LKV, varaaja, muu vakio-lämmön-tarve</t>
  </si>
  <si>
    <t>Brutto-lämmön-tarve</t>
  </si>
  <si>
    <t>Netto-lämmön-tarve</t>
  </si>
  <si>
    <t>Tuloilman lämpötila nettolämmöntarpeen mukaan</t>
  </si>
  <si>
    <t>Ttkompr on tuloilman lämpötila PILP:n lauhduttimen jälkeen</t>
  </si>
  <si>
    <t>Tuloilman lämpötila PILP:n kompressorin jälkeen</t>
  </si>
  <si>
    <t>Tt, Kompr</t>
  </si>
  <si>
    <t>Kompura</t>
  </si>
  <si>
    <t>kW</t>
  </si>
  <si>
    <t>H, kW</t>
  </si>
  <si>
    <t>Bruttolämmöntarve, kW</t>
  </si>
  <si>
    <t>Nettolämmöntarve (hyödynnetyt lämpökuormat vähennetty), kW</t>
  </si>
  <si>
    <t>LTO:n teho, kW</t>
  </si>
  <si>
    <t>PILP:n lauhduttimen ja LTO:n teho, kW</t>
  </si>
  <si>
    <t>PILP:n kompressorin sähköteho, kW</t>
  </si>
  <si>
    <t>PILP:n höyrystimen teho, kW</t>
  </si>
  <si>
    <t>PILP:n lauhduttimen teho, kW</t>
  </si>
  <si>
    <t>Poistoilman minimilämpötila LTO:n jäätymissuojauksessa</t>
  </si>
  <si>
    <t>Poistoilman minimilämpötila PILP:n jäätymissuojauksessa</t>
  </si>
  <si>
    <t xml:space="preserve">PILP:n lauhdutin: </t>
  </si>
  <si>
    <t>Lauhdutin</t>
  </si>
  <si>
    <t>Varaajan lämpöhäviöteho, kW</t>
  </si>
  <si>
    <t>Käyttöveden lämmityksen nettotehontarve, W</t>
  </si>
  <si>
    <t>Varaajan lämpöhäviöteho, W</t>
  </si>
  <si>
    <t>Muu lämpöhäviöteho (vakioteho koko vuoden), W</t>
  </si>
  <si>
    <t>Käyttöveden lämmitysteho, kW</t>
  </si>
  <si>
    <t>Muu lämpöhäviöteho, kW</t>
  </si>
  <si>
    <t>Muu lämmitys</t>
  </si>
  <si>
    <t xml:space="preserve">Muu lämpöhäviö: </t>
  </si>
  <si>
    <t xml:space="preserve">Bruttolämmöntarve: </t>
  </si>
  <si>
    <t>Tuloilman jälkilämmitysteho, kW</t>
  </si>
  <si>
    <t>PILP:n lauhduttimen, LTO:n ja tuloilman jälkilämmityksen teho, kW</t>
  </si>
  <si>
    <t>°Ch</t>
  </si>
  <si>
    <t>Poistoilmalämpöpumpun kompressorin sähkönkulutus</t>
  </si>
  <si>
    <t>kWh/lämmityskausi</t>
  </si>
  <si>
    <t>Parasta ennen</t>
  </si>
  <si>
    <t>Nämä sarakkeet ovat vain kuvien piirtämistä varten</t>
  </si>
  <si>
    <t>1. Höyrystin poistoilmassa LTO:n jälkeen</t>
  </si>
  <si>
    <t>Tuloilman lämpeneminen LTO:n jälkeen</t>
  </si>
  <si>
    <t>Muu kuin PILP-lämmitys</t>
  </si>
  <si>
    <t>Lauhduttimen tod. energia</t>
  </si>
  <si>
    <t>Kompr. tod. teho</t>
  </si>
  <si>
    <t>Höyrystimen tod. teho</t>
  </si>
  <si>
    <t>Lauhduttimen tod. teho</t>
  </si>
  <si>
    <t>Muu lämmitys, kW</t>
  </si>
  <si>
    <t>Tt, netto</t>
  </si>
  <si>
    <t>Tt,brutto</t>
  </si>
  <si>
    <t>2. Höyrystin poistoilmassa ennen LTO:a tai ilman LTO:a</t>
  </si>
  <si>
    <t>Rakennuksen käyttötarkoitusluokka (1 - 9)</t>
  </si>
  <si>
    <t>Käyttövesi ja sen lämpöhäviö, kW</t>
  </si>
  <si>
    <t>Käyttövesi, sen lämpöhäviö ja muu lämpöhäviö, kW</t>
  </si>
  <si>
    <t xml:space="preserve">Käyttöveden lämpöhäviö: </t>
  </si>
  <si>
    <t>IV-aikataulu</t>
  </si>
  <si>
    <t>Ulkoilmavirta</t>
  </si>
  <si>
    <t>ulkoilmavirta</t>
  </si>
  <si>
    <t>Rakennuksen tiedot</t>
  </si>
  <si>
    <t>Ulkoilmavirran suhde poistoilmavirtaan PILP:ssa</t>
  </si>
  <si>
    <t>Esimerkki</t>
  </si>
  <si>
    <t>PILP:llä = 0, ei PILP:llä = 1</t>
  </si>
  <si>
    <t>Jälkilämmityksen energian lähde</t>
  </si>
  <si>
    <t>Tuloilman jälkilämmitys PILP-varaajasta (1 = kyllä, 0 = ei)</t>
  </si>
  <si>
    <t>Nibbe Niilanen</t>
  </si>
  <si>
    <t>I Helsinki-Vantaa TRY 2012 testivuosi</t>
  </si>
  <si>
    <r>
      <t>Lämpö-kuormien lämpö-energian hyödyntä-misaste, η</t>
    </r>
    <r>
      <rPr>
        <vertAlign val="subscript"/>
        <sz val="10"/>
        <color theme="0"/>
        <rFont val="Arial"/>
        <family val="2"/>
      </rPr>
      <t>lämpö</t>
    </r>
    <r>
      <rPr>
        <sz val="10"/>
        <color theme="0"/>
        <rFont val="Arial"/>
        <family val="2"/>
      </rPr>
      <t>, kaava (8.13 tai 8.14)</t>
    </r>
  </si>
  <si>
    <r>
      <t>η</t>
    </r>
    <r>
      <rPr>
        <vertAlign val="subscript"/>
        <sz val="12"/>
        <color theme="0"/>
        <rFont val="Arial"/>
        <family val="2"/>
      </rPr>
      <t>p</t>
    </r>
  </si>
  <si>
    <t>© Ympäristöministeriö, PILP-laskin 2018 (versio maaliskuu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</si>
</sst>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0.00\ _€_-;\-* #,##0.00\ _€_-;_-* &quot;-&quot;??\ _€_-;_-@_-"/>
    <numFmt numFmtId="165" formatCode="_-* #,##0.00\ &quot;mk&quot;_-;\-* #,##0.00\ &quot;mk&quot;_-;_-* &quot;-&quot;??\ &quot;mk&quot;_-;_-@_-"/>
    <numFmt numFmtId="166" formatCode="0.0"/>
    <numFmt numFmtId="167" formatCode="0.000"/>
    <numFmt numFmtId="168" formatCode="0.0000"/>
    <numFmt numFmtId="169" formatCode="0.0\ %"/>
    <numFmt numFmtId="170" formatCode="0_)&quot; W&quot;"/>
    <numFmt numFmtId="171" formatCode="0.0_)&quot; °C&quot;"/>
    <numFmt numFmtId="172" formatCode="0_)&quot; dm³/s&quot;"/>
    <numFmt numFmtId="173" formatCode="0_)"/>
    <numFmt numFmtId="174" formatCode="0.0000_)"/>
    <numFmt numFmtId="175" formatCode="0.0000000"/>
  </numFmts>
  <fonts count="52" x14ac:knownFonts="1">
    <font>
      <sz val="10"/>
      <name val="Arial"/>
    </font>
    <font>
      <sz val="10"/>
      <name val="Arial"/>
      <family val="2"/>
    </font>
    <font>
      <sz val="10"/>
      <name val="Arial"/>
      <family val="2"/>
    </font>
    <font>
      <sz val="8"/>
      <name val="Arial"/>
      <family val="2"/>
    </font>
    <font>
      <b/>
      <sz val="8"/>
      <color indexed="81"/>
      <name val="Tahoma"/>
      <family val="2"/>
    </font>
    <font>
      <b/>
      <sz val="10"/>
      <name val="Arial"/>
      <family val="2"/>
    </font>
    <font>
      <sz val="10"/>
      <color indexed="8"/>
      <name val="Arial"/>
      <family val="2"/>
    </font>
    <font>
      <i/>
      <sz val="10"/>
      <name val="Arial"/>
      <family val="2"/>
    </font>
    <font>
      <sz val="10"/>
      <color indexed="10"/>
      <name val="Arial"/>
      <family val="2"/>
    </font>
    <font>
      <b/>
      <sz val="12"/>
      <name val="Arial"/>
      <family val="2"/>
    </font>
    <font>
      <sz val="9"/>
      <name val="Arial"/>
      <family val="2"/>
    </font>
    <font>
      <vertAlign val="subscript"/>
      <sz val="10"/>
      <name val="Arial"/>
      <family val="2"/>
    </font>
    <font>
      <b/>
      <sz val="10"/>
      <color indexed="10"/>
      <name val="Arial"/>
      <family val="2"/>
    </font>
    <font>
      <b/>
      <vertAlign val="subscript"/>
      <sz val="11"/>
      <name val="Arial"/>
      <family val="2"/>
    </font>
    <font>
      <sz val="10"/>
      <color indexed="9"/>
      <name val="Arial"/>
      <family val="2"/>
    </font>
    <font>
      <b/>
      <sz val="10"/>
      <color indexed="9"/>
      <name val="Arial"/>
      <family val="2"/>
    </font>
    <font>
      <sz val="10"/>
      <name val="Helvetica"/>
      <family val="2"/>
    </font>
    <font>
      <b/>
      <sz val="10"/>
      <color indexed="8"/>
      <name val="Arial"/>
      <family val="2"/>
    </font>
    <font>
      <b/>
      <sz val="10"/>
      <color indexed="10"/>
      <name val="Arial Narrow"/>
      <family val="2"/>
    </font>
    <font>
      <sz val="10"/>
      <color indexed="81"/>
      <name val="Tahoma"/>
      <family val="2"/>
    </font>
    <font>
      <sz val="10"/>
      <name val="Symbol"/>
      <family val="1"/>
      <charset val="2"/>
    </font>
    <font>
      <sz val="10"/>
      <color indexed="81"/>
      <name val="Symbol"/>
      <family val="1"/>
      <charset val="2"/>
    </font>
    <font>
      <vertAlign val="subscript"/>
      <sz val="10"/>
      <color indexed="81"/>
      <name val="Tahoma"/>
      <family val="2"/>
    </font>
    <font>
      <sz val="10"/>
      <color indexed="81"/>
      <name val="Arial"/>
      <family val="2"/>
    </font>
    <font>
      <b/>
      <vertAlign val="subscript"/>
      <sz val="10"/>
      <name val="Arial"/>
      <family val="2"/>
    </font>
    <font>
      <b/>
      <sz val="9"/>
      <name val="Arial"/>
      <family val="2"/>
    </font>
    <font>
      <b/>
      <sz val="9"/>
      <color indexed="12"/>
      <name val="Arial"/>
      <family val="2"/>
    </font>
    <font>
      <sz val="14"/>
      <name val="Arial"/>
      <family val="2"/>
    </font>
    <font>
      <b/>
      <sz val="9"/>
      <color indexed="10"/>
      <name val="Arial"/>
      <family val="2"/>
    </font>
    <font>
      <b/>
      <sz val="9"/>
      <color indexed="17"/>
      <name val="Arial"/>
      <family val="2"/>
    </font>
    <font>
      <b/>
      <sz val="9"/>
      <color indexed="53"/>
      <name val="Arial"/>
      <family val="2"/>
    </font>
    <font>
      <sz val="10"/>
      <color theme="0"/>
      <name val="Arial"/>
      <family val="2"/>
    </font>
    <font>
      <b/>
      <sz val="10"/>
      <color theme="0"/>
      <name val="Arial Narrow"/>
      <family val="2"/>
    </font>
    <font>
      <b/>
      <sz val="10"/>
      <color theme="0"/>
      <name val="Arial"/>
      <family val="2"/>
    </font>
    <font>
      <sz val="10"/>
      <color rgb="FFFF0000"/>
      <name val="Arial"/>
      <family val="2"/>
    </font>
    <font>
      <sz val="10"/>
      <color rgb="FF000000"/>
      <name val="Arial"/>
      <family val="2"/>
    </font>
    <font>
      <b/>
      <sz val="10"/>
      <color rgb="FF0066FF"/>
      <name val="Arial"/>
      <family val="2"/>
    </font>
    <font>
      <vertAlign val="subscript"/>
      <sz val="10"/>
      <color indexed="81"/>
      <name val="Arial"/>
      <family val="2"/>
    </font>
    <font>
      <sz val="10"/>
      <color indexed="10"/>
      <name val="Tahoma"/>
      <family val="2"/>
    </font>
    <font>
      <sz val="9"/>
      <color indexed="81"/>
      <name val="Tahoma"/>
      <family val="2"/>
    </font>
    <font>
      <b/>
      <sz val="10"/>
      <color rgb="FFFF0000"/>
      <name val="Arial"/>
      <family val="2"/>
    </font>
    <font>
      <sz val="8"/>
      <color indexed="81"/>
      <name val="Tahoma"/>
      <family val="2"/>
    </font>
    <font>
      <vertAlign val="subscript"/>
      <sz val="10"/>
      <color theme="0"/>
      <name val="Arial"/>
      <family val="2"/>
    </font>
    <font>
      <b/>
      <sz val="9"/>
      <color indexed="81"/>
      <name val="Tahoma"/>
      <family val="2"/>
    </font>
    <font>
      <sz val="11"/>
      <color theme="0"/>
      <name val="Arial"/>
      <family val="2"/>
    </font>
    <font>
      <sz val="8"/>
      <color theme="0"/>
      <name val="Arial"/>
      <family val="2"/>
    </font>
    <font>
      <sz val="12"/>
      <color theme="0"/>
      <name val="Arial"/>
      <family val="2"/>
    </font>
    <font>
      <sz val="6"/>
      <color theme="0"/>
      <name val="Arial"/>
      <family val="2"/>
    </font>
    <font>
      <i/>
      <sz val="10"/>
      <color theme="0"/>
      <name val="Arial"/>
      <family val="2"/>
    </font>
    <font>
      <vertAlign val="subscript"/>
      <sz val="12"/>
      <color theme="0"/>
      <name val="Arial"/>
      <family val="2"/>
    </font>
    <font>
      <b/>
      <sz val="8"/>
      <color theme="0"/>
      <name val="Arial"/>
      <family val="2"/>
    </font>
    <font>
      <sz val="9"/>
      <color theme="0"/>
      <name val="Arial"/>
      <family val="2"/>
    </font>
  </fonts>
  <fills count="6">
    <fill>
      <patternFill patternType="none"/>
    </fill>
    <fill>
      <patternFill patternType="gray125"/>
    </fill>
    <fill>
      <patternFill patternType="solid">
        <fgColor indexed="26"/>
        <bgColor indexed="64"/>
      </patternFill>
    </fill>
    <fill>
      <patternFill patternType="solid">
        <fgColor indexed="41"/>
        <bgColor indexed="64"/>
      </patternFill>
    </fill>
    <fill>
      <patternFill patternType="solid">
        <fgColor indexed="42"/>
        <bgColor indexed="64"/>
      </patternFill>
    </fill>
    <fill>
      <patternFill patternType="solid">
        <fgColor theme="9" tint="0.59999389629810485"/>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6">
    <xf numFmtId="0" fontId="0" fillId="0" borderId="0"/>
    <xf numFmtId="9" fontId="2" fillId="0" borderId="0" applyFont="0" applyFill="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cellStyleXfs>
  <cellXfs count="248">
    <xf numFmtId="0" fontId="0" fillId="0" borderId="0" xfId="0"/>
    <xf numFmtId="0" fontId="5" fillId="0" borderId="0" xfId="0" applyFont="1" applyProtection="1">
      <protection hidden="1"/>
    </xf>
    <xf numFmtId="0" fontId="6" fillId="2" borderId="1" xfId="0" applyFont="1" applyFill="1" applyBorder="1" applyAlignment="1" applyProtection="1">
      <alignment vertical="center" wrapText="1"/>
      <protection locked="0"/>
    </xf>
    <xf numFmtId="0" fontId="6" fillId="2" borderId="1" xfId="0" applyFont="1" applyFill="1" applyBorder="1" applyAlignment="1" applyProtection="1">
      <alignment horizontal="center" vertical="center" wrapText="1"/>
      <protection locked="0"/>
    </xf>
    <xf numFmtId="0" fontId="3" fillId="0" borderId="0" xfId="0" applyFont="1" applyProtection="1">
      <protection hidden="1"/>
    </xf>
    <xf numFmtId="0" fontId="17" fillId="2" borderId="1" xfId="0" applyFont="1" applyFill="1" applyBorder="1" applyAlignment="1" applyProtection="1">
      <alignment horizontal="center" vertical="center" wrapText="1"/>
      <protection locked="0"/>
    </xf>
    <xf numFmtId="0" fontId="34" fillId="0" borderId="0" xfId="0" applyFont="1" applyProtection="1">
      <protection hidden="1"/>
    </xf>
    <xf numFmtId="0" fontId="25" fillId="0" borderId="0" xfId="0" applyFont="1" applyAlignment="1">
      <alignment horizontal="right"/>
    </xf>
    <xf numFmtId="0" fontId="25" fillId="0" borderId="0" xfId="0" applyFont="1" applyAlignment="1">
      <alignment horizontal="left"/>
    </xf>
    <xf numFmtId="171" fontId="26" fillId="0" borderId="0" xfId="0" applyNumberFormat="1" applyFont="1"/>
    <xf numFmtId="171" fontId="28" fillId="0" borderId="0" xfId="0" applyNumberFormat="1" applyFont="1"/>
    <xf numFmtId="171" fontId="29" fillId="0" borderId="0" xfId="0" applyNumberFormat="1" applyFont="1"/>
    <xf numFmtId="171" fontId="30" fillId="0" borderId="0" xfId="0" applyNumberFormat="1" applyFont="1"/>
    <xf numFmtId="9" fontId="29" fillId="0" borderId="0" xfId="0" applyNumberFormat="1" applyFont="1" applyAlignment="1">
      <alignment horizontal="center"/>
    </xf>
    <xf numFmtId="0" fontId="29" fillId="0" borderId="0" xfId="0" applyFont="1" applyAlignment="1">
      <alignment horizontal="center"/>
    </xf>
    <xf numFmtId="166" fontId="36" fillId="0" borderId="0" xfId="0" applyNumberFormat="1" applyFont="1" applyAlignment="1">
      <alignment horizontal="center"/>
    </xf>
    <xf numFmtId="0" fontId="5" fillId="0" borderId="0" xfId="0" applyFont="1" applyAlignment="1" applyProtection="1">
      <alignment horizontal="left"/>
      <protection hidden="1"/>
    </xf>
    <xf numFmtId="0" fontId="1" fillId="0" borderId="2" xfId="0" applyFont="1" applyBorder="1" applyAlignment="1" applyProtection="1">
      <alignment horizontal="center"/>
      <protection hidden="1"/>
    </xf>
    <xf numFmtId="0" fontId="6" fillId="0" borderId="0" xfId="0" applyFont="1" applyAlignment="1" applyProtection="1">
      <alignment vertical="center" wrapText="1"/>
      <protection hidden="1"/>
    </xf>
    <xf numFmtId="14" fontId="6" fillId="0" borderId="0" xfId="0" applyNumberFormat="1" applyFont="1" applyAlignment="1" applyProtection="1">
      <alignment vertical="center" wrapText="1"/>
      <protection hidden="1"/>
    </xf>
    <xf numFmtId="0" fontId="1" fillId="0" borderId="1" xfId="0" applyFont="1" applyBorder="1" applyProtection="1">
      <protection hidden="1"/>
    </xf>
    <xf numFmtId="0" fontId="1" fillId="0" borderId="0" xfId="0" applyFont="1"/>
    <xf numFmtId="0" fontId="1" fillId="0" borderId="0" xfId="0" applyFont="1" applyProtection="1">
      <protection hidden="1"/>
    </xf>
    <xf numFmtId="0" fontId="10" fillId="0" borderId="0" xfId="2" applyFont="1" applyProtection="1">
      <protection hidden="1"/>
    </xf>
    <xf numFmtId="0" fontId="5" fillId="0" borderId="0" xfId="2" applyFont="1" applyProtection="1">
      <protection hidden="1"/>
    </xf>
    <xf numFmtId="0" fontId="1" fillId="0" borderId="0" xfId="2" applyProtection="1">
      <protection hidden="1"/>
    </xf>
    <xf numFmtId="0" fontId="16" fillId="0" borderId="1" xfId="2" applyFont="1" applyBorder="1" applyAlignment="1" applyProtection="1">
      <alignment horizontal="left"/>
      <protection hidden="1"/>
    </xf>
    <xf numFmtId="0" fontId="31" fillId="0" borderId="11" xfId="2" applyFont="1" applyBorder="1" applyProtection="1">
      <protection hidden="1"/>
    </xf>
    <xf numFmtId="0" fontId="31" fillId="0" borderId="0" xfId="2" applyFont="1" applyProtection="1">
      <protection hidden="1"/>
    </xf>
    <xf numFmtId="0" fontId="8" fillId="0" borderId="0" xfId="2" applyFont="1" applyProtection="1">
      <protection hidden="1"/>
    </xf>
    <xf numFmtId="0" fontId="14" fillId="0" borderId="0" xfId="2" applyFont="1" applyProtection="1">
      <protection hidden="1"/>
    </xf>
    <xf numFmtId="0" fontId="16" fillId="0" borderId="4" xfId="2" applyFont="1" applyBorder="1" applyProtection="1">
      <protection hidden="1"/>
    </xf>
    <xf numFmtId="0" fontId="32" fillId="0" borderId="11" xfId="2" applyFont="1" applyBorder="1"/>
    <xf numFmtId="0" fontId="32" fillId="0" borderId="0" xfId="2" applyFont="1"/>
    <xf numFmtId="0" fontId="18" fillId="0" borderId="0" xfId="2" applyFont="1"/>
    <xf numFmtId="0" fontId="1" fillId="0" borderId="1" xfId="2" applyBorder="1" applyAlignment="1" applyProtection="1">
      <alignment horizontal="center" vertical="center" wrapText="1"/>
      <protection hidden="1"/>
    </xf>
    <xf numFmtId="0" fontId="1" fillId="0" borderId="8" xfId="2" applyBorder="1" applyAlignment="1" applyProtection="1">
      <alignment horizontal="center" vertical="center" wrapText="1"/>
      <protection hidden="1"/>
    </xf>
    <xf numFmtId="0" fontId="31" fillId="0" borderId="11" xfId="2" applyFont="1" applyBorder="1" applyAlignment="1" applyProtection="1">
      <alignment horizontal="center" wrapText="1"/>
      <protection hidden="1"/>
    </xf>
    <xf numFmtId="0" fontId="31" fillId="0" borderId="0" xfId="2" applyFont="1" applyAlignment="1" applyProtection="1">
      <alignment horizontal="center" wrapText="1"/>
      <protection hidden="1"/>
    </xf>
    <xf numFmtId="0" fontId="9" fillId="0" borderId="5" xfId="2" applyFont="1" applyBorder="1" applyProtection="1">
      <protection hidden="1"/>
    </xf>
    <xf numFmtId="0" fontId="1" fillId="0" borderId="5" xfId="2" applyBorder="1" applyProtection="1">
      <protection hidden="1"/>
    </xf>
    <xf numFmtId="167" fontId="5" fillId="4" borderId="1" xfId="2" applyNumberFormat="1" applyFont="1" applyFill="1" applyBorder="1" applyAlignment="1" applyProtection="1">
      <alignment horizontal="center"/>
      <protection locked="0" hidden="1"/>
    </xf>
    <xf numFmtId="169" fontId="5" fillId="4" borderId="8" xfId="3" applyNumberFormat="1" applyFont="1" applyFill="1" applyBorder="1" applyAlignment="1" applyProtection="1">
      <alignment horizontal="center"/>
      <protection locked="0" hidden="1"/>
    </xf>
    <xf numFmtId="4" fontId="33" fillId="0" borderId="11" xfId="3" applyNumberFormat="1" applyFont="1" applyFill="1" applyBorder="1" applyAlignment="1" applyProtection="1">
      <alignment horizontal="center"/>
      <protection hidden="1"/>
    </xf>
    <xf numFmtId="3" fontId="33" fillId="0" borderId="0" xfId="2" applyNumberFormat="1" applyFont="1" applyProtection="1">
      <protection hidden="1"/>
    </xf>
    <xf numFmtId="0" fontId="1" fillId="0" borderId="2" xfId="2" applyBorder="1" applyProtection="1">
      <protection hidden="1"/>
    </xf>
    <xf numFmtId="0" fontId="1" fillId="0" borderId="2" xfId="2" applyBorder="1" applyAlignment="1" applyProtection="1">
      <alignment horizontal="center"/>
      <protection hidden="1"/>
    </xf>
    <xf numFmtId="0" fontId="1" fillId="0" borderId="6" xfId="2" applyBorder="1" applyAlignment="1" applyProtection="1">
      <alignment horizontal="center"/>
      <protection hidden="1"/>
    </xf>
    <xf numFmtId="0" fontId="1" fillId="0" borderId="9" xfId="2" applyBorder="1" applyAlignment="1" applyProtection="1">
      <alignment horizontal="center"/>
      <protection hidden="1"/>
    </xf>
    <xf numFmtId="0" fontId="31" fillId="0" borderId="11" xfId="2" applyFont="1" applyBorder="1" applyAlignment="1" applyProtection="1">
      <alignment horizontal="center"/>
      <protection hidden="1"/>
    </xf>
    <xf numFmtId="0" fontId="31" fillId="0" borderId="0" xfId="2" applyFont="1" applyAlignment="1" applyProtection="1">
      <alignment horizontal="center"/>
      <protection hidden="1"/>
    </xf>
    <xf numFmtId="0" fontId="1" fillId="0" borderId="3" xfId="2" applyBorder="1" applyProtection="1">
      <protection hidden="1"/>
    </xf>
    <xf numFmtId="0" fontId="1" fillId="0" borderId="3" xfId="2" applyBorder="1" applyAlignment="1" applyProtection="1">
      <alignment horizontal="center"/>
      <protection hidden="1"/>
    </xf>
    <xf numFmtId="0" fontId="20" fillId="0" borderId="8" xfId="2" applyFont="1" applyBorder="1" applyAlignment="1" applyProtection="1">
      <alignment horizontal="center"/>
      <protection hidden="1"/>
    </xf>
    <xf numFmtId="0" fontId="20" fillId="0" borderId="10" xfId="2" applyFont="1" applyBorder="1" applyAlignment="1" applyProtection="1">
      <alignment horizontal="center"/>
      <protection hidden="1"/>
    </xf>
    <xf numFmtId="0" fontId="1" fillId="0" borderId="11" xfId="2" applyBorder="1" applyAlignment="1" applyProtection="1">
      <alignment horizontal="center"/>
      <protection hidden="1"/>
    </xf>
    <xf numFmtId="168" fontId="14" fillId="0" borderId="0" xfId="3" applyNumberFormat="1" applyFont="1" applyBorder="1" applyProtection="1">
      <protection hidden="1"/>
    </xf>
    <xf numFmtId="0" fontId="1" fillId="0" borderId="2" xfId="2" applyBorder="1" applyAlignment="1" applyProtection="1">
      <alignment horizontal="left"/>
      <protection hidden="1"/>
    </xf>
    <xf numFmtId="0" fontId="1" fillId="0" borderId="4" xfId="2" applyBorder="1" applyAlignment="1" applyProtection="1">
      <alignment horizontal="center"/>
      <protection hidden="1"/>
    </xf>
    <xf numFmtId="0" fontId="1" fillId="0" borderId="1" xfId="2" applyBorder="1" applyAlignment="1" applyProtection="1">
      <alignment horizontal="center"/>
      <protection hidden="1"/>
    </xf>
    <xf numFmtId="0" fontId="1" fillId="0" borderId="7" xfId="2" applyBorder="1" applyAlignment="1" applyProtection="1">
      <alignment horizontal="center"/>
      <protection hidden="1"/>
    </xf>
    <xf numFmtId="0" fontId="6" fillId="2" borderId="1" xfId="2" applyFont="1" applyFill="1" applyBorder="1" applyAlignment="1" applyProtection="1">
      <alignment vertical="center" wrapText="1"/>
      <protection locked="0"/>
    </xf>
    <xf numFmtId="0" fontId="6" fillId="2" borderId="1" xfId="2" applyFont="1" applyFill="1" applyBorder="1" applyAlignment="1" applyProtection="1">
      <alignment horizontal="center" vertical="center" wrapText="1"/>
      <protection locked="0"/>
    </xf>
    <xf numFmtId="167" fontId="1" fillId="0" borderId="1" xfId="2" applyNumberFormat="1" applyBorder="1" applyAlignment="1" applyProtection="1">
      <alignment horizontal="center" vertical="center"/>
      <protection hidden="1"/>
    </xf>
    <xf numFmtId="0" fontId="6" fillId="2" borderId="1" xfId="2" applyFont="1" applyFill="1" applyBorder="1" applyAlignment="1" applyProtection="1">
      <alignment horizontal="right" vertical="center" wrapText="1"/>
      <protection locked="0"/>
    </xf>
    <xf numFmtId="0" fontId="6" fillId="2" borderId="8" xfId="2" applyFont="1" applyFill="1" applyBorder="1" applyAlignment="1" applyProtection="1">
      <alignment horizontal="right" vertical="center" wrapText="1"/>
      <protection locked="0"/>
    </xf>
    <xf numFmtId="0" fontId="14" fillId="0" borderId="6" xfId="2" applyFont="1" applyBorder="1" applyAlignment="1" applyProtection="1">
      <alignment horizontal="right" vertical="center" wrapText="1"/>
      <protection hidden="1"/>
    </xf>
    <xf numFmtId="9" fontId="1" fillId="3" borderId="8" xfId="2" applyNumberFormat="1" applyFill="1" applyBorder="1" applyAlignment="1" applyProtection="1">
      <alignment vertical="center"/>
      <protection locked="0"/>
    </xf>
    <xf numFmtId="0" fontId="31" fillId="0" borderId="11" xfId="2" applyFont="1" applyBorder="1" applyAlignment="1" applyProtection="1">
      <alignment horizontal="right" vertical="center" wrapText="1"/>
      <protection locked="0"/>
    </xf>
    <xf numFmtId="3" fontId="31" fillId="0" borderId="0" xfId="2" applyNumberFormat="1" applyFont="1" applyProtection="1">
      <protection hidden="1"/>
    </xf>
    <xf numFmtId="1" fontId="8" fillId="0" borderId="0" xfId="2" applyNumberFormat="1" applyFont="1" applyProtection="1">
      <protection hidden="1"/>
    </xf>
    <xf numFmtId="2" fontId="14" fillId="0" borderId="0" xfId="2" applyNumberFormat="1" applyFont="1" applyProtection="1">
      <protection hidden="1"/>
    </xf>
    <xf numFmtId="0" fontId="6" fillId="2" borderId="1" xfId="2" quotePrefix="1" applyFont="1" applyFill="1" applyBorder="1" applyAlignment="1" applyProtection="1">
      <alignment vertical="center" wrapText="1"/>
      <protection locked="0"/>
    </xf>
    <xf numFmtId="1" fontId="14" fillId="0" borderId="0" xfId="2" applyNumberFormat="1" applyFont="1" applyProtection="1">
      <protection hidden="1"/>
    </xf>
    <xf numFmtId="0" fontId="3" fillId="0" borderId="0" xfId="2" applyFont="1" applyProtection="1">
      <protection hidden="1"/>
    </xf>
    <xf numFmtId="0" fontId="1" fillId="0" borderId="4" xfId="2" applyBorder="1" applyAlignment="1" applyProtection="1">
      <alignment horizontal="center" vertical="center" wrapText="1"/>
      <protection hidden="1"/>
    </xf>
    <xf numFmtId="4" fontId="33" fillId="0" borderId="0" xfId="3" applyNumberFormat="1" applyFont="1" applyFill="1" applyBorder="1" applyAlignment="1" applyProtection="1">
      <alignment horizontal="center"/>
      <protection hidden="1"/>
    </xf>
    <xf numFmtId="0" fontId="6" fillId="2" borderId="1" xfId="2" applyFont="1" applyFill="1" applyBorder="1" applyAlignment="1" applyProtection="1">
      <alignment vertical="top" wrapText="1"/>
      <protection locked="0"/>
    </xf>
    <xf numFmtId="0" fontId="6" fillId="2" borderId="1" xfId="2" applyFont="1" applyFill="1" applyBorder="1" applyAlignment="1" applyProtection="1">
      <alignment horizontal="center" vertical="top" wrapText="1"/>
      <protection locked="0"/>
    </xf>
    <xf numFmtId="167" fontId="1" fillId="0" borderId="1" xfId="2" applyNumberFormat="1" applyBorder="1" applyAlignment="1" applyProtection="1">
      <alignment horizontal="center"/>
      <protection hidden="1"/>
    </xf>
    <xf numFmtId="0" fontId="14" fillId="0" borderId="1" xfId="2" applyFont="1" applyBorder="1" applyAlignment="1" applyProtection="1">
      <alignment horizontal="right" vertical="center" wrapText="1"/>
      <protection hidden="1"/>
    </xf>
    <xf numFmtId="0" fontId="31" fillId="0" borderId="0" xfId="2" applyFont="1" applyAlignment="1" applyProtection="1">
      <alignment horizontal="right" vertical="center" wrapText="1"/>
      <protection locked="0"/>
    </xf>
    <xf numFmtId="1" fontId="12" fillId="0" borderId="0" xfId="3" applyNumberFormat="1" applyFont="1" applyBorder="1" applyProtection="1">
      <protection hidden="1"/>
    </xf>
    <xf numFmtId="9" fontId="8" fillId="0" borderId="0" xfId="3" applyFont="1" applyBorder="1" applyProtection="1">
      <protection hidden="1"/>
    </xf>
    <xf numFmtId="9" fontId="7" fillId="0" borderId="0" xfId="3" applyFont="1" applyBorder="1" applyAlignment="1" applyProtection="1">
      <alignment horizontal="center"/>
      <protection hidden="1"/>
    </xf>
    <xf numFmtId="167" fontId="31" fillId="0" borderId="0" xfId="2" applyNumberFormat="1" applyFont="1" applyProtection="1">
      <protection hidden="1"/>
    </xf>
    <xf numFmtId="2" fontId="14" fillId="0" borderId="0" xfId="3" applyNumberFormat="1" applyFont="1" applyBorder="1" applyProtection="1">
      <protection hidden="1"/>
    </xf>
    <xf numFmtId="9" fontId="1" fillId="3" borderId="8" xfId="2" applyNumberFormat="1" applyFill="1" applyBorder="1" applyProtection="1">
      <protection locked="0"/>
    </xf>
    <xf numFmtId="166" fontId="14" fillId="0" borderId="0" xfId="2" applyNumberFormat="1" applyFont="1" applyAlignment="1" applyProtection="1">
      <alignment horizontal="left"/>
      <protection hidden="1"/>
    </xf>
    <xf numFmtId="0" fontId="1" fillId="0" borderId="0" xfId="2" applyAlignment="1" applyProtection="1">
      <alignment vertical="top" wrapText="1"/>
      <protection hidden="1"/>
    </xf>
    <xf numFmtId="0" fontId="1" fillId="0" borderId="0" xfId="2" applyAlignment="1" applyProtection="1">
      <alignment horizontal="center" vertical="top" wrapText="1"/>
      <protection hidden="1"/>
    </xf>
    <xf numFmtId="166" fontId="1" fillId="0" borderId="0" xfId="2" applyNumberFormat="1" applyAlignment="1" applyProtection="1">
      <alignment horizontal="center"/>
      <protection hidden="1"/>
    </xf>
    <xf numFmtId="0" fontId="6" fillId="0" borderId="0" xfId="2" applyFont="1" applyAlignment="1" applyProtection="1">
      <alignment horizontal="right" vertical="top" wrapText="1"/>
      <protection hidden="1"/>
    </xf>
    <xf numFmtId="2" fontId="1" fillId="0" borderId="0" xfId="2" applyNumberFormat="1" applyAlignment="1" applyProtection="1">
      <alignment horizontal="center"/>
      <protection hidden="1"/>
    </xf>
    <xf numFmtId="9" fontId="1" fillId="0" borderId="0" xfId="2" applyNumberFormat="1" applyProtection="1">
      <protection hidden="1"/>
    </xf>
    <xf numFmtId="1" fontId="31" fillId="0" borderId="0" xfId="2" applyNumberFormat="1" applyFont="1" applyProtection="1">
      <protection hidden="1"/>
    </xf>
    <xf numFmtId="1" fontId="15" fillId="0" borderId="0" xfId="3" applyNumberFormat="1" applyFont="1" applyBorder="1" applyProtection="1">
      <protection hidden="1"/>
    </xf>
    <xf numFmtId="9" fontId="14" fillId="0" borderId="0" xfId="3" applyFont="1" applyBorder="1" applyProtection="1">
      <protection hidden="1"/>
    </xf>
    <xf numFmtId="0" fontId="1" fillId="0" borderId="1" xfId="0" applyFont="1" applyBorder="1" applyAlignment="1" applyProtection="1">
      <alignment horizontal="left"/>
      <protection hidden="1"/>
    </xf>
    <xf numFmtId="0" fontId="1" fillId="0" borderId="0" xfId="0" applyFont="1" applyAlignment="1" applyProtection="1">
      <alignment horizontal="left"/>
      <protection hidden="1"/>
    </xf>
    <xf numFmtId="166" fontId="1" fillId="0" borderId="0" xfId="0" applyNumberFormat="1" applyFont="1" applyAlignment="1">
      <alignment horizontal="left"/>
    </xf>
    <xf numFmtId="0" fontId="5" fillId="0" borderId="19" xfId="0" applyFont="1" applyBorder="1" applyAlignment="1" applyProtection="1">
      <alignment horizontal="left"/>
      <protection hidden="1"/>
    </xf>
    <xf numFmtId="0" fontId="5" fillId="0" borderId="10" xfId="0" applyFont="1" applyBorder="1" applyAlignment="1" applyProtection="1">
      <alignment horizontal="left"/>
      <protection hidden="1"/>
    </xf>
    <xf numFmtId="0" fontId="40" fillId="0" borderId="0" xfId="0" applyFont="1"/>
    <xf numFmtId="0" fontId="31" fillId="0" borderId="0" xfId="0" applyFont="1"/>
    <xf numFmtId="0" fontId="10" fillId="0" borderId="13" xfId="0" applyFont="1" applyBorder="1"/>
    <xf numFmtId="167" fontId="5" fillId="0" borderId="0" xfId="0" applyNumberFormat="1" applyFont="1"/>
    <xf numFmtId="0" fontId="10" fillId="0" borderId="0" xfId="0" applyFont="1"/>
    <xf numFmtId="0" fontId="1" fillId="0" borderId="4" xfId="0" applyFont="1" applyBorder="1" applyProtection="1">
      <protection hidden="1"/>
    </xf>
    <xf numFmtId="0" fontId="12" fillId="0" borderId="0" xfId="0" applyFont="1" applyAlignment="1" applyProtection="1">
      <alignment vertical="center" wrapText="1"/>
      <protection hidden="1"/>
    </xf>
    <xf numFmtId="170" fontId="10" fillId="0" borderId="0" xfId="0" applyNumberFormat="1" applyFont="1"/>
    <xf numFmtId="170" fontId="10" fillId="0" borderId="0" xfId="0" applyNumberFormat="1" applyFont="1" applyAlignment="1">
      <alignment horizontal="center"/>
    </xf>
    <xf numFmtId="0" fontId="10" fillId="0" borderId="0" xfId="0" applyFont="1" applyAlignment="1">
      <alignment horizontal="center"/>
    </xf>
    <xf numFmtId="171" fontId="10" fillId="0" borderId="0" xfId="0" applyNumberFormat="1" applyFont="1"/>
    <xf numFmtId="9" fontId="10" fillId="0" borderId="0" xfId="0" applyNumberFormat="1" applyFont="1" applyAlignment="1">
      <alignment horizontal="center"/>
    </xf>
    <xf numFmtId="172" fontId="10" fillId="0" borderId="0" xfId="0" applyNumberFormat="1" applyFont="1"/>
    <xf numFmtId="170" fontId="10" fillId="0" borderId="14" xfId="0" applyNumberFormat="1" applyFont="1" applyBorder="1" applyAlignment="1">
      <alignment horizontal="center"/>
    </xf>
    <xf numFmtId="0" fontId="10" fillId="0" borderId="15" xfId="0" applyFont="1" applyBorder="1"/>
    <xf numFmtId="9" fontId="10" fillId="0" borderId="0" xfId="1" applyFont="1" applyAlignment="1">
      <alignment horizontal="center"/>
    </xf>
    <xf numFmtId="170" fontId="10" fillId="0" borderId="0" xfId="0" applyNumberFormat="1" applyFont="1" applyAlignment="1">
      <alignment horizontal="left"/>
    </xf>
    <xf numFmtId="0" fontId="10" fillId="0" borderId="16" xfId="0" applyFont="1" applyBorder="1" applyAlignment="1">
      <alignment horizontal="center"/>
    </xf>
    <xf numFmtId="0" fontId="10" fillId="0" borderId="0" xfId="0" quotePrefix="1" applyFont="1" applyAlignment="1">
      <alignment horizontal="center"/>
    </xf>
    <xf numFmtId="173" fontId="3" fillId="0" borderId="0" xfId="0" applyNumberFormat="1" applyFont="1"/>
    <xf numFmtId="173" fontId="10" fillId="0" borderId="0" xfId="0" applyNumberFormat="1" applyFont="1"/>
    <xf numFmtId="174" fontId="10" fillId="0" borderId="0" xfId="0" applyNumberFormat="1" applyFont="1"/>
    <xf numFmtId="0" fontId="1" fillId="0" borderId="4" xfId="0" applyFont="1" applyBorder="1" applyAlignment="1" applyProtection="1">
      <alignment horizontal="center"/>
      <protection hidden="1"/>
    </xf>
    <xf numFmtId="0" fontId="1" fillId="2" borderId="1" xfId="0" applyFont="1" applyFill="1" applyBorder="1" applyProtection="1">
      <protection locked="0"/>
    </xf>
    <xf numFmtId="166" fontId="1" fillId="2" borderId="1" xfId="0" applyNumberFormat="1" applyFont="1" applyFill="1" applyBorder="1" applyProtection="1">
      <protection locked="0"/>
    </xf>
    <xf numFmtId="1" fontId="1" fillId="2" borderId="1" xfId="0" applyNumberFormat="1" applyFont="1" applyFill="1" applyBorder="1" applyProtection="1">
      <protection locked="0"/>
    </xf>
    <xf numFmtId="3" fontId="1" fillId="0" borderId="1" xfId="0" applyNumberFormat="1" applyFont="1" applyBorder="1" applyProtection="1">
      <protection hidden="1"/>
    </xf>
    <xf numFmtId="0" fontId="1" fillId="0" borderId="1" xfId="0" applyFont="1" applyBorder="1" applyAlignment="1" applyProtection="1">
      <alignment horizontal="right"/>
      <protection hidden="1"/>
    </xf>
    <xf numFmtId="167" fontId="1" fillId="2" borderId="1" xfId="0" applyNumberFormat="1" applyFont="1" applyFill="1" applyBorder="1" applyProtection="1">
      <protection locked="0"/>
    </xf>
    <xf numFmtId="0" fontId="1" fillId="0" borderId="1" xfId="0" applyFont="1" applyBorder="1"/>
    <xf numFmtId="0" fontId="1" fillId="0" borderId="20" xfId="0" applyFont="1" applyBorder="1" applyProtection="1">
      <protection hidden="1"/>
    </xf>
    <xf numFmtId="166" fontId="1" fillId="0" borderId="0" xfId="0" applyNumberFormat="1" applyFont="1" applyProtection="1">
      <protection locked="0"/>
    </xf>
    <xf numFmtId="166" fontId="1" fillId="0" borderId="0" xfId="0" applyNumberFormat="1" applyFont="1" applyProtection="1">
      <protection hidden="1"/>
    </xf>
    <xf numFmtId="2" fontId="1" fillId="2" borderId="1" xfId="0" applyNumberFormat="1" applyFont="1" applyFill="1" applyBorder="1" applyProtection="1">
      <protection locked="0"/>
    </xf>
    <xf numFmtId="2" fontId="1" fillId="0" borderId="1" xfId="0" applyNumberFormat="1" applyFont="1" applyBorder="1" applyProtection="1">
      <protection hidden="1"/>
    </xf>
    <xf numFmtId="0" fontId="1" fillId="0" borderId="17" xfId="0" applyFont="1" applyBorder="1"/>
    <xf numFmtId="169" fontId="1" fillId="3" borderId="18" xfId="1" applyNumberFormat="1" applyFont="1" applyFill="1" applyBorder="1" applyAlignment="1" applyProtection="1">
      <alignment horizontal="center"/>
      <protection locked="0" hidden="1"/>
    </xf>
    <xf numFmtId="169" fontId="1" fillId="0" borderId="0" xfId="1" applyNumberFormat="1" applyFont="1" applyProtection="1">
      <protection hidden="1"/>
    </xf>
    <xf numFmtId="3" fontId="1" fillId="5" borderId="18" xfId="1" applyNumberFormat="1" applyFont="1" applyFill="1" applyBorder="1" applyAlignment="1" applyProtection="1">
      <alignment horizontal="center"/>
      <protection hidden="1"/>
    </xf>
    <xf numFmtId="0" fontId="31" fillId="0" borderId="0" xfId="0" applyFont="1" applyAlignment="1">
      <alignment horizontal="right"/>
    </xf>
    <xf numFmtId="167" fontId="31" fillId="0" borderId="0" xfId="0" applyNumberFormat="1" applyFont="1"/>
    <xf numFmtId="2" fontId="1" fillId="2" borderId="1" xfId="0" quotePrefix="1" applyNumberFormat="1" applyFont="1" applyFill="1" applyBorder="1" applyProtection="1">
      <protection locked="0"/>
    </xf>
    <xf numFmtId="0" fontId="1" fillId="0" borderId="4" xfId="0" applyFont="1" applyBorder="1" applyAlignment="1" applyProtection="1">
      <alignment horizontal="left"/>
      <protection hidden="1"/>
    </xf>
    <xf numFmtId="0" fontId="1" fillId="2" borderId="4" xfId="0" applyFont="1" applyFill="1" applyBorder="1" applyProtection="1">
      <protection locked="0"/>
    </xf>
    <xf numFmtId="0" fontId="5" fillId="0" borderId="5" xfId="0" applyFont="1" applyBorder="1" applyAlignment="1" applyProtection="1">
      <alignment horizontal="left"/>
      <protection hidden="1"/>
    </xf>
    <xf numFmtId="2" fontId="1" fillId="0" borderId="5" xfId="0" applyNumberFormat="1" applyFont="1" applyBorder="1" applyProtection="1">
      <protection hidden="1"/>
    </xf>
    <xf numFmtId="167" fontId="17" fillId="2" borderId="1" xfId="0" applyNumberFormat="1" applyFont="1" applyFill="1" applyBorder="1" applyAlignment="1" applyProtection="1">
      <alignment horizontal="center" vertical="center" wrapText="1"/>
      <protection locked="0"/>
    </xf>
    <xf numFmtId="166" fontId="1" fillId="0" borderId="10" xfId="0" applyNumberFormat="1" applyFont="1" applyBorder="1" applyProtection="1">
      <protection locked="0"/>
    </xf>
    <xf numFmtId="0" fontId="5" fillId="0" borderId="0" xfId="0" applyFont="1" applyProtection="1">
      <protection locked="0" hidden="1"/>
    </xf>
    <xf numFmtId="2" fontId="1" fillId="0" borderId="0" xfId="0" applyNumberFormat="1" applyFont="1" applyProtection="1">
      <protection hidden="1"/>
    </xf>
    <xf numFmtId="0" fontId="33" fillId="0" borderId="0" xfId="0" applyFont="1" applyProtection="1">
      <protection locked="0" hidden="1"/>
    </xf>
    <xf numFmtId="0" fontId="31" fillId="0" borderId="0" xfId="0" applyFont="1" applyProtection="1">
      <protection locked="0" hidden="1"/>
    </xf>
    <xf numFmtId="0" fontId="45" fillId="0" borderId="0" xfId="0" applyFont="1" applyProtection="1">
      <protection locked="0" hidden="1"/>
    </xf>
    <xf numFmtId="0" fontId="31" fillId="0" borderId="0" xfId="0" applyFont="1" applyAlignment="1" applyProtection="1">
      <alignment horizontal="right"/>
      <protection locked="0" hidden="1"/>
    </xf>
    <xf numFmtId="3" fontId="31" fillId="0" borderId="0" xfId="0" applyNumberFormat="1" applyFont="1" applyProtection="1">
      <protection locked="0" hidden="1"/>
    </xf>
    <xf numFmtId="0" fontId="33" fillId="0" borderId="0" xfId="0" applyFont="1" applyAlignment="1" applyProtection="1">
      <alignment horizontal="right"/>
      <protection locked="0" hidden="1"/>
    </xf>
    <xf numFmtId="169" fontId="33" fillId="0" borderId="0" xfId="0" applyNumberFormat="1" applyFont="1" applyProtection="1">
      <protection locked="0" hidden="1"/>
    </xf>
    <xf numFmtId="169" fontId="31" fillId="0" borderId="0" xfId="0" applyNumberFormat="1" applyFont="1" applyProtection="1">
      <protection locked="0" hidden="1"/>
    </xf>
    <xf numFmtId="1" fontId="31" fillId="0" borderId="0" xfId="0" applyNumberFormat="1" applyFont="1" applyProtection="1">
      <protection locked="0" hidden="1"/>
    </xf>
    <xf numFmtId="3" fontId="33" fillId="0" borderId="0" xfId="0" applyNumberFormat="1" applyFont="1" applyProtection="1">
      <protection locked="0" hidden="1"/>
    </xf>
    <xf numFmtId="169" fontId="33" fillId="0" borderId="0" xfId="1" applyNumberFormat="1" applyFont="1" applyFill="1" applyProtection="1">
      <protection locked="0" hidden="1"/>
    </xf>
    <xf numFmtId="0" fontId="31" fillId="0" borderId="21" xfId="0" applyFont="1" applyBorder="1" applyProtection="1">
      <protection locked="0" hidden="1"/>
    </xf>
    <xf numFmtId="0" fontId="31" fillId="0" borderId="22" xfId="0" applyFont="1" applyBorder="1" applyProtection="1">
      <protection locked="0" hidden="1"/>
    </xf>
    <xf numFmtId="0" fontId="31" fillId="0" borderId="23" xfId="0" applyFont="1" applyBorder="1" applyProtection="1">
      <protection locked="0" hidden="1"/>
    </xf>
    <xf numFmtId="14" fontId="31" fillId="0" borderId="24" xfId="0" applyNumberFormat="1" applyFont="1" applyBorder="1" applyProtection="1">
      <protection locked="0" hidden="1"/>
    </xf>
    <xf numFmtId="2" fontId="31" fillId="0" borderId="0" xfId="0" applyNumberFormat="1" applyFont="1" applyProtection="1">
      <protection locked="0" hidden="1"/>
    </xf>
    <xf numFmtId="0" fontId="31" fillId="0" borderId="25" xfId="0" applyFont="1" applyBorder="1" applyProtection="1">
      <protection locked="0" hidden="1"/>
    </xf>
    <xf numFmtId="0" fontId="31" fillId="0" borderId="24" xfId="0" applyFont="1" applyBorder="1" applyProtection="1">
      <protection locked="0" hidden="1"/>
    </xf>
    <xf numFmtId="0" fontId="46" fillId="0" borderId="0" xfId="0" applyFont="1" applyAlignment="1" applyProtection="1">
      <alignment horizontal="right"/>
      <protection locked="0" hidden="1"/>
    </xf>
    <xf numFmtId="169" fontId="33" fillId="0" borderId="0" xfId="1" applyNumberFormat="1" applyFont="1" applyFill="1" applyBorder="1" applyAlignment="1" applyProtection="1">
      <alignment horizontal="left"/>
      <protection locked="0" hidden="1"/>
    </xf>
    <xf numFmtId="0" fontId="33" fillId="0" borderId="22" xfId="0" applyFont="1" applyBorder="1" applyProtection="1">
      <protection locked="0" hidden="1"/>
    </xf>
    <xf numFmtId="0" fontId="33" fillId="0" borderId="23" xfId="0" applyFont="1" applyBorder="1" applyProtection="1">
      <protection locked="0" hidden="1"/>
    </xf>
    <xf numFmtId="0" fontId="31" fillId="0" borderId="26" xfId="0" applyFont="1" applyBorder="1" applyProtection="1">
      <protection locked="0" hidden="1"/>
    </xf>
    <xf numFmtId="0" fontId="31" fillId="0" borderId="27" xfId="0" applyFont="1" applyBorder="1" applyProtection="1">
      <protection locked="0" hidden="1"/>
    </xf>
    <xf numFmtId="0" fontId="31" fillId="0" borderId="28" xfId="0" applyFont="1" applyBorder="1" applyProtection="1">
      <protection locked="0" hidden="1"/>
    </xf>
    <xf numFmtId="9" fontId="31" fillId="0" borderId="0" xfId="1" applyFont="1" applyFill="1" applyBorder="1" applyProtection="1">
      <protection locked="0" hidden="1"/>
    </xf>
    <xf numFmtId="14" fontId="31" fillId="0" borderId="0" xfId="0" applyNumberFormat="1" applyFont="1" applyProtection="1">
      <protection locked="0" hidden="1"/>
    </xf>
    <xf numFmtId="166" fontId="33" fillId="0" borderId="0" xfId="0" applyNumberFormat="1" applyFont="1" applyProtection="1">
      <protection locked="0" hidden="1"/>
    </xf>
    <xf numFmtId="166" fontId="31" fillId="0" borderId="0" xfId="0" applyNumberFormat="1" applyFont="1" applyProtection="1">
      <protection locked="0" hidden="1"/>
    </xf>
    <xf numFmtId="1" fontId="33" fillId="0" borderId="0" xfId="0" applyNumberFormat="1" applyFont="1" applyProtection="1">
      <protection locked="0" hidden="1"/>
    </xf>
    <xf numFmtId="175" fontId="31" fillId="0" borderId="0" xfId="0" applyNumberFormat="1" applyFont="1" applyProtection="1">
      <protection locked="0" hidden="1"/>
    </xf>
    <xf numFmtId="0" fontId="33" fillId="0" borderId="0" xfId="0" quotePrefix="1" applyFont="1" applyProtection="1">
      <protection locked="0" hidden="1"/>
    </xf>
    <xf numFmtId="168" fontId="31" fillId="0" borderId="0" xfId="0" applyNumberFormat="1" applyFont="1" applyProtection="1">
      <protection locked="0" hidden="1"/>
    </xf>
    <xf numFmtId="169" fontId="33" fillId="0" borderId="0" xfId="1" applyNumberFormat="1" applyFont="1" applyFill="1" applyBorder="1" applyProtection="1">
      <protection locked="0" hidden="1"/>
    </xf>
    <xf numFmtId="0" fontId="33" fillId="0" borderId="0" xfId="0" applyFont="1" applyAlignment="1" applyProtection="1">
      <alignment horizontal="left"/>
      <protection locked="0" hidden="1"/>
    </xf>
    <xf numFmtId="169" fontId="31" fillId="0" borderId="0" xfId="1" applyNumberFormat="1" applyFont="1" applyFill="1" applyBorder="1" applyProtection="1">
      <protection locked="0" hidden="1"/>
    </xf>
    <xf numFmtId="0" fontId="31" fillId="0" borderId="0" xfId="0" applyFont="1" applyAlignment="1" applyProtection="1">
      <alignment horizontal="right" wrapText="1"/>
      <protection locked="0" hidden="1"/>
    </xf>
    <xf numFmtId="0" fontId="31" fillId="0" borderId="0" xfId="0" applyFont="1" applyAlignment="1" applyProtection="1">
      <alignment wrapText="1"/>
      <protection locked="0" hidden="1"/>
    </xf>
    <xf numFmtId="0" fontId="45" fillId="0" borderId="0" xfId="0" applyFont="1" applyAlignment="1" applyProtection="1">
      <alignment wrapText="1"/>
      <protection locked="0" hidden="1"/>
    </xf>
    <xf numFmtId="0" fontId="31" fillId="0" borderId="0" xfId="0" applyFont="1" applyAlignment="1" applyProtection="1">
      <alignment horizontal="left" wrapText="1"/>
      <protection locked="0" hidden="1"/>
    </xf>
    <xf numFmtId="14" fontId="31" fillId="0" borderId="0" xfId="0" applyNumberFormat="1" applyFont="1" applyAlignment="1" applyProtection="1">
      <alignment wrapText="1"/>
      <protection locked="0" hidden="1"/>
    </xf>
    <xf numFmtId="0" fontId="33" fillId="0" borderId="0" xfId="0" applyFont="1" applyAlignment="1" applyProtection="1">
      <alignment wrapText="1"/>
      <protection locked="0" hidden="1"/>
    </xf>
    <xf numFmtId="2" fontId="31" fillId="0" borderId="0" xfId="0" applyNumberFormat="1" applyFont="1" applyAlignment="1" applyProtection="1">
      <alignment horizontal="left" wrapText="1"/>
      <protection locked="0" hidden="1"/>
    </xf>
    <xf numFmtId="1" fontId="31" fillId="0" borderId="0" xfId="0" applyNumberFormat="1" applyFont="1" applyAlignment="1" applyProtection="1">
      <alignment horizontal="left" wrapText="1"/>
      <protection locked="0" hidden="1"/>
    </xf>
    <xf numFmtId="0" fontId="47" fillId="0" borderId="0" xfId="0" applyFont="1" applyAlignment="1" applyProtection="1">
      <alignment wrapText="1"/>
      <protection locked="0" hidden="1"/>
    </xf>
    <xf numFmtId="0" fontId="31" fillId="0" borderId="0" xfId="0" quotePrefix="1" applyFont="1" applyAlignment="1" applyProtection="1">
      <alignment horizontal="left" wrapText="1"/>
      <protection locked="0" hidden="1"/>
    </xf>
    <xf numFmtId="0" fontId="48" fillId="0" borderId="0" xfId="0" applyFont="1" applyAlignment="1" applyProtection="1">
      <alignment horizontal="left" wrapText="1"/>
      <protection locked="0" hidden="1"/>
    </xf>
    <xf numFmtId="167" fontId="31" fillId="0" borderId="0" xfId="0" applyNumberFormat="1" applyFont="1" applyProtection="1">
      <protection locked="0" hidden="1"/>
    </xf>
    <xf numFmtId="1" fontId="33" fillId="0" borderId="0" xfId="0" quotePrefix="1" applyNumberFormat="1" applyFont="1" applyProtection="1">
      <protection locked="0" hidden="1"/>
    </xf>
    <xf numFmtId="9" fontId="33" fillId="0" borderId="0" xfId="1" applyFont="1" applyFill="1" applyBorder="1" applyProtection="1">
      <protection locked="0" hidden="1"/>
    </xf>
    <xf numFmtId="2" fontId="33" fillId="0" borderId="0" xfId="0" applyNumberFormat="1" applyFont="1" applyProtection="1">
      <protection locked="0" hidden="1"/>
    </xf>
    <xf numFmtId="0" fontId="44" fillId="0" borderId="0" xfId="0" applyFont="1" applyAlignment="1" applyProtection="1">
      <alignment horizontal="right" wrapText="1"/>
      <protection locked="0" hidden="1"/>
    </xf>
    <xf numFmtId="0" fontId="44" fillId="0" borderId="0" xfId="0" applyFont="1" applyAlignment="1" applyProtection="1">
      <alignment horizontal="right"/>
      <protection locked="0" hidden="1"/>
    </xf>
    <xf numFmtId="3" fontId="33" fillId="0" borderId="0" xfId="0" quotePrefix="1" applyNumberFormat="1" applyFont="1" applyProtection="1">
      <protection locked="0" hidden="1"/>
    </xf>
    <xf numFmtId="3" fontId="48" fillId="0" borderId="0" xfId="0" applyNumberFormat="1" applyFont="1" applyProtection="1">
      <protection locked="0" hidden="1"/>
    </xf>
    <xf numFmtId="1" fontId="31" fillId="0" borderId="0" xfId="0" applyNumberFormat="1" applyFont="1" applyAlignment="1" applyProtection="1">
      <alignment horizontal="right"/>
      <protection locked="0" hidden="1"/>
    </xf>
    <xf numFmtId="0" fontId="50" fillId="0" borderId="0" xfId="0" applyFont="1" applyAlignment="1" applyProtection="1">
      <alignment horizontal="right" wrapText="1"/>
      <protection locked="0" hidden="1"/>
    </xf>
    <xf numFmtId="1" fontId="48" fillId="0" borderId="0" xfId="0" applyNumberFormat="1" applyFont="1" applyAlignment="1" applyProtection="1">
      <alignment horizontal="right"/>
      <protection locked="0" hidden="1"/>
    </xf>
    <xf numFmtId="0" fontId="51" fillId="0" borderId="0" xfId="0" applyFont="1" applyProtection="1">
      <protection locked="0" hidden="1"/>
    </xf>
    <xf numFmtId="0" fontId="45" fillId="0" borderId="0" xfId="0" applyFont="1" applyAlignment="1" applyProtection="1">
      <alignment horizontal="right"/>
      <protection hidden="1"/>
    </xf>
    <xf numFmtId="14" fontId="45" fillId="0" borderId="0" xfId="0" applyNumberFormat="1" applyFont="1" applyProtection="1">
      <protection hidden="1"/>
    </xf>
    <xf numFmtId="0" fontId="5" fillId="0" borderId="9" xfId="2" applyFont="1" applyBorder="1" applyAlignment="1" applyProtection="1">
      <alignment horizontal="left"/>
      <protection hidden="1"/>
    </xf>
    <xf numFmtId="0" fontId="5" fillId="0" borderId="7" xfId="2" applyFont="1" applyBorder="1" applyAlignment="1" applyProtection="1">
      <alignment horizontal="left"/>
      <protection hidden="1"/>
    </xf>
    <xf numFmtId="0" fontId="1" fillId="0" borderId="8" xfId="2" applyBorder="1" applyAlignment="1" applyProtection="1">
      <alignment horizontal="center"/>
      <protection hidden="1"/>
    </xf>
    <xf numFmtId="0" fontId="1" fillId="0" borderId="10" xfId="2" applyBorder="1" applyAlignment="1" applyProtection="1">
      <alignment horizontal="center"/>
      <protection hidden="1"/>
    </xf>
    <xf numFmtId="0" fontId="6" fillId="2" borderId="8" xfId="2" applyFont="1" applyFill="1" applyBorder="1" applyAlignment="1" applyProtection="1">
      <alignment horizontal="left" vertical="center" wrapText="1"/>
      <protection locked="0"/>
    </xf>
    <xf numFmtId="0" fontId="6" fillId="2" borderId="10" xfId="2" applyFont="1" applyFill="1" applyBorder="1" applyAlignment="1" applyProtection="1">
      <alignment horizontal="left" vertical="center" wrapText="1"/>
      <protection locked="0"/>
    </xf>
    <xf numFmtId="0" fontId="6" fillId="2" borderId="6" xfId="2" applyFont="1" applyFill="1" applyBorder="1" applyAlignment="1" applyProtection="1">
      <alignment horizontal="left" vertical="center" wrapText="1"/>
      <protection locked="0"/>
    </xf>
    <xf numFmtId="0" fontId="1" fillId="2" borderId="8" xfId="0" applyFont="1" applyFill="1" applyBorder="1" applyAlignment="1" applyProtection="1">
      <alignment horizontal="left" vertical="center" wrapText="1"/>
      <protection locked="0"/>
    </xf>
    <xf numFmtId="0" fontId="1" fillId="2" borderId="10" xfId="0" applyFont="1" applyFill="1" applyBorder="1" applyAlignment="1" applyProtection="1">
      <alignment horizontal="left" vertical="center" wrapText="1"/>
      <protection locked="0"/>
    </xf>
    <xf numFmtId="0" fontId="1" fillId="2" borderId="6" xfId="0" applyFont="1" applyFill="1" applyBorder="1" applyAlignment="1" applyProtection="1">
      <alignment horizontal="left" vertical="center" wrapText="1"/>
      <protection locked="0"/>
    </xf>
    <xf numFmtId="0" fontId="1" fillId="2" borderId="8" xfId="5" applyNumberFormat="1" applyFont="1" applyFill="1" applyBorder="1" applyAlignment="1" applyProtection="1">
      <alignment horizontal="left"/>
      <protection locked="0"/>
    </xf>
    <xf numFmtId="0" fontId="1" fillId="2" borderId="10" xfId="5" applyNumberFormat="1" applyFont="1" applyFill="1" applyBorder="1" applyAlignment="1" applyProtection="1">
      <alignment horizontal="left"/>
      <protection locked="0"/>
    </xf>
    <xf numFmtId="0" fontId="1" fillId="2" borderId="6" xfId="5" applyNumberFormat="1"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0" fillId="2" borderId="1" xfId="0" applyFill="1" applyBorder="1" applyAlignment="1" applyProtection="1">
      <alignment horizontal="left"/>
      <protection locked="0"/>
    </xf>
    <xf numFmtId="0" fontId="2" fillId="2" borderId="1" xfId="0" applyFont="1" applyFill="1" applyBorder="1" applyAlignment="1" applyProtection="1">
      <alignment horizontal="left"/>
      <protection locked="0"/>
    </xf>
    <xf numFmtId="14" fontId="1" fillId="2" borderId="8" xfId="2" applyNumberFormat="1" applyFill="1" applyBorder="1" applyAlignment="1" applyProtection="1">
      <alignment horizontal="left"/>
      <protection locked="0"/>
    </xf>
    <xf numFmtId="14" fontId="1" fillId="2" borderId="10" xfId="2" applyNumberFormat="1" applyFill="1" applyBorder="1" applyAlignment="1" applyProtection="1">
      <alignment horizontal="left"/>
      <protection locked="0"/>
    </xf>
    <xf numFmtId="14" fontId="1" fillId="2" borderId="6" xfId="2" applyNumberFormat="1" applyFill="1" applyBorder="1" applyAlignment="1" applyProtection="1">
      <alignment horizontal="left"/>
      <protection locked="0"/>
    </xf>
    <xf numFmtId="0" fontId="5" fillId="4" borderId="2" xfId="2" applyFont="1" applyFill="1" applyBorder="1" applyAlignment="1" applyProtection="1">
      <alignment horizontal="center" wrapText="1"/>
      <protection hidden="1"/>
    </xf>
    <xf numFmtId="0" fontId="5" fillId="4" borderId="4" xfId="2" applyFont="1" applyFill="1" applyBorder="1" applyAlignment="1" applyProtection="1">
      <alignment horizontal="center" wrapText="1"/>
      <protection hidden="1"/>
    </xf>
    <xf numFmtId="0" fontId="5" fillId="0" borderId="11" xfId="2" applyFont="1" applyBorder="1" applyAlignment="1" applyProtection="1">
      <alignment horizontal="left"/>
      <protection hidden="1"/>
    </xf>
    <xf numFmtId="0" fontId="5" fillId="0" borderId="12" xfId="2" applyFont="1" applyBorder="1" applyAlignment="1" applyProtection="1">
      <alignment horizontal="left"/>
      <protection hidden="1"/>
    </xf>
    <xf numFmtId="0" fontId="27" fillId="0" borderId="14" xfId="0" quotePrefix="1" applyFont="1" applyBorder="1" applyAlignment="1">
      <alignment horizontal="center" vertical="center"/>
    </xf>
    <xf numFmtId="0" fontId="27" fillId="0" borderId="16" xfId="0" quotePrefix="1" applyFont="1" applyBorder="1" applyAlignment="1">
      <alignment horizontal="center" vertical="center"/>
    </xf>
    <xf numFmtId="0" fontId="6" fillId="0" borderId="8" xfId="0" applyFont="1" applyBorder="1" applyAlignment="1" applyProtection="1">
      <alignment horizontal="left" wrapText="1"/>
      <protection hidden="1"/>
    </xf>
    <xf numFmtId="0" fontId="6" fillId="0" borderId="10" xfId="0" applyFont="1" applyBorder="1" applyAlignment="1" applyProtection="1">
      <alignment horizontal="left" wrapText="1"/>
      <protection hidden="1"/>
    </xf>
    <xf numFmtId="0" fontId="6" fillId="0" borderId="6" xfId="0" applyFont="1" applyBorder="1" applyAlignment="1" applyProtection="1">
      <alignment horizontal="left" wrapText="1"/>
      <protection hidden="1"/>
    </xf>
    <xf numFmtId="0" fontId="1" fillId="0" borderId="8" xfId="0" applyFont="1" applyBorder="1" applyAlignment="1" applyProtection="1">
      <alignment horizontal="left" wrapText="1"/>
      <protection hidden="1"/>
    </xf>
    <xf numFmtId="0" fontId="1" fillId="0" borderId="10" xfId="0" applyFont="1" applyBorder="1" applyAlignment="1" applyProtection="1">
      <alignment horizontal="left" wrapText="1"/>
      <protection hidden="1"/>
    </xf>
    <xf numFmtId="0" fontId="1" fillId="0" borderId="6" xfId="0" applyFont="1" applyBorder="1" applyAlignment="1" applyProtection="1">
      <alignment horizontal="left" wrapText="1"/>
      <protection hidden="1"/>
    </xf>
    <xf numFmtId="14" fontId="6" fillId="0" borderId="8" xfId="0" applyNumberFormat="1" applyFont="1" applyBorder="1" applyAlignment="1" applyProtection="1">
      <alignment horizontal="left" wrapText="1"/>
      <protection hidden="1"/>
    </xf>
    <xf numFmtId="14" fontId="6" fillId="0" borderId="10" xfId="0" applyNumberFormat="1" applyFont="1" applyBorder="1" applyAlignment="1" applyProtection="1">
      <alignment horizontal="left" wrapText="1"/>
      <protection hidden="1"/>
    </xf>
    <xf numFmtId="14" fontId="6" fillId="0" borderId="6" xfId="0" applyNumberFormat="1" applyFont="1" applyBorder="1" applyAlignment="1" applyProtection="1">
      <alignment horizontal="left" wrapText="1"/>
      <protection hidden="1"/>
    </xf>
  </cellXfs>
  <cellStyles count="6">
    <cellStyle name="Comma 2" xfId="4" xr:uid="{00000000-0005-0000-0000-000000000000}"/>
    <cellStyle name="Currency 2" xfId="5" xr:uid="{00000000-0005-0000-0000-000001000000}"/>
    <cellStyle name="Normaali" xfId="0" builtinId="0"/>
    <cellStyle name="Normal 2" xfId="2" xr:uid="{00000000-0005-0000-0000-000003000000}"/>
    <cellStyle name="Percent 2" xfId="3" xr:uid="{00000000-0005-0000-0000-000004000000}"/>
    <cellStyle name="Prosenttia" xfId="1" builtinId="5"/>
  </cellStyles>
  <dxfs count="10">
    <dxf>
      <font>
        <b/>
        <i val="0"/>
        <color rgb="FFFF0000"/>
      </font>
    </dxf>
    <dxf>
      <font>
        <b/>
        <i val="0"/>
        <color rgb="FFFF0000"/>
      </font>
    </dxf>
    <dxf>
      <font>
        <b/>
        <i val="0"/>
        <strike val="0"/>
        <color rgb="FFFF0000"/>
      </font>
    </dxf>
    <dxf>
      <font>
        <b/>
        <i val="0"/>
        <strike val="0"/>
        <color rgb="FFFF0000"/>
      </font>
    </dxf>
    <dxf>
      <font>
        <color theme="0"/>
      </font>
    </dxf>
    <dxf>
      <font>
        <strike val="0"/>
        <color auto="1"/>
      </font>
    </dxf>
    <dxf>
      <font>
        <b/>
        <i val="0"/>
        <color rgb="FFFF0000"/>
      </font>
    </dxf>
    <dxf>
      <font>
        <b/>
        <i val="0"/>
        <strike val="0"/>
        <color rgb="FFFF0000"/>
      </font>
    </dxf>
    <dxf>
      <font>
        <b/>
        <i val="0"/>
        <strike val="0"/>
        <condense val="0"/>
        <extend val="0"/>
        <color indexed="10"/>
      </font>
    </dxf>
    <dxf>
      <font>
        <b/>
        <i val="0"/>
        <strike val="0"/>
        <condense val="0"/>
        <extend val="0"/>
        <color indexed="10"/>
      </font>
    </dxf>
  </dxfs>
  <tableStyles count="0" defaultTableStyle="TableStyleMedium2" defaultPivotStyle="PivotStyleLight16"/>
  <colors>
    <mruColors>
      <color rgb="FFFFFFCC"/>
      <color rgb="FFFF99CC"/>
      <color rgb="FF00FF00"/>
      <color rgb="FF0080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6.xml"/><Relationship Id="rId13" Type="http://schemas.openxmlformats.org/officeDocument/2006/relationships/calcChain" Target="calcChain.xml"/><Relationship Id="rId3" Type="http://schemas.openxmlformats.org/officeDocument/2006/relationships/chartsheet" Target="chartsheets/sheet1.xml"/><Relationship Id="rId7" Type="http://schemas.openxmlformats.org/officeDocument/2006/relationships/chartsheet" Target="chartsheets/sheet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hartsheet" Target="chartsheets/sheet4.xml"/><Relationship Id="rId11" Type="http://schemas.openxmlformats.org/officeDocument/2006/relationships/styles" Target="styles.xml"/><Relationship Id="rId5" Type="http://schemas.openxmlformats.org/officeDocument/2006/relationships/chartsheet" Target="chartsheets/sheet3.xml"/><Relationship Id="rId10" Type="http://schemas.openxmlformats.org/officeDocument/2006/relationships/theme" Target="theme/theme1.xml"/><Relationship Id="rId4" Type="http://schemas.openxmlformats.org/officeDocument/2006/relationships/chartsheet" Target="chartsheets/sheet2.xml"/><Relationship Id="rId9"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autoTitleDeleted val="0"/>
    <c:plotArea>
      <c:layout>
        <c:manualLayout>
          <c:layoutTarget val="inner"/>
          <c:xMode val="edge"/>
          <c:yMode val="edge"/>
          <c:x val="7.0670261044955593E-2"/>
          <c:y val="2.6634335181786487E-2"/>
          <c:w val="0.90137934397544572"/>
          <c:h val="0.85482050562156231"/>
        </c:manualLayout>
      </c:layout>
      <c:scatterChart>
        <c:scatterStyle val="lineMarker"/>
        <c:varyColors val="0"/>
        <c:ser>
          <c:idx val="4"/>
          <c:order val="0"/>
          <c:tx>
            <c:strRef>
              <c:f>'Hki-2012'!$J$22</c:f>
              <c:strCache>
                <c:ptCount val="1"/>
                <c:pt idx="0">
                  <c:v>Poistoilman lämpötila</c:v>
                </c:pt>
              </c:strCache>
            </c:strRef>
          </c:tx>
          <c:spPr>
            <a:ln>
              <a:solidFill>
                <a:schemeClr val="tx1"/>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'Hki-2012'!$J$24:$J$74</c:f>
              <c:numCache>
                <c:formatCode>0.0</c:formatCode>
                <c:ptCount val="51"/>
                <c:pt idx="0">
                  <c:v>21</c:v>
                </c:pt>
                <c:pt idx="1">
                  <c:v>21</c:v>
                </c:pt>
                <c:pt idx="2">
                  <c:v>21</c:v>
                </c:pt>
                <c:pt idx="3">
                  <c:v>21</c:v>
                </c:pt>
                <c:pt idx="4">
                  <c:v>21</c:v>
                </c:pt>
                <c:pt idx="5">
                  <c:v>21</c:v>
                </c:pt>
                <c:pt idx="6">
                  <c:v>21</c:v>
                </c:pt>
                <c:pt idx="7">
                  <c:v>21</c:v>
                </c:pt>
                <c:pt idx="8">
                  <c:v>21</c:v>
                </c:pt>
                <c:pt idx="9">
                  <c:v>21</c:v>
                </c:pt>
                <c:pt idx="10">
                  <c:v>21</c:v>
                </c:pt>
                <c:pt idx="11">
                  <c:v>21</c:v>
                </c:pt>
                <c:pt idx="12">
                  <c:v>21</c:v>
                </c:pt>
                <c:pt idx="13">
                  <c:v>21</c:v>
                </c:pt>
                <c:pt idx="14">
                  <c:v>21</c:v>
                </c:pt>
                <c:pt idx="15">
                  <c:v>21</c:v>
                </c:pt>
                <c:pt idx="16">
                  <c:v>21</c:v>
                </c:pt>
                <c:pt idx="17">
                  <c:v>21</c:v>
                </c:pt>
                <c:pt idx="18">
                  <c:v>21</c:v>
                </c:pt>
                <c:pt idx="19">
                  <c:v>21</c:v>
                </c:pt>
                <c:pt idx="20">
                  <c:v>21</c:v>
                </c:pt>
                <c:pt idx="21">
                  <c:v>21</c:v>
                </c:pt>
                <c:pt idx="22">
                  <c:v>21</c:v>
                </c:pt>
                <c:pt idx="23">
                  <c:v>21</c:v>
                </c:pt>
                <c:pt idx="24">
                  <c:v>21</c:v>
                </c:pt>
                <c:pt idx="25">
                  <c:v>21</c:v>
                </c:pt>
                <c:pt idx="26">
                  <c:v>21</c:v>
                </c:pt>
                <c:pt idx="27">
                  <c:v>21</c:v>
                </c:pt>
                <c:pt idx="28">
                  <c:v>21</c:v>
                </c:pt>
                <c:pt idx="29">
                  <c:v>21</c:v>
                </c:pt>
                <c:pt idx="30">
                  <c:v>21</c:v>
                </c:pt>
                <c:pt idx="31">
                  <c:v>21</c:v>
                </c:pt>
                <c:pt idx="32">
                  <c:v>21</c:v>
                </c:pt>
                <c:pt idx="33">
                  <c:v>21</c:v>
                </c:pt>
                <c:pt idx="34">
                  <c:v>21</c:v>
                </c:pt>
                <c:pt idx="35">
                  <c:v>21</c:v>
                </c:pt>
                <c:pt idx="36">
                  <c:v>21</c:v>
                </c:pt>
                <c:pt idx="37">
                  <c:v>21</c:v>
                </c:pt>
                <c:pt idx="38">
                  <c:v>21</c:v>
                </c:pt>
                <c:pt idx="39">
                  <c:v>21</c:v>
                </c:pt>
                <c:pt idx="40">
                  <c:v>21</c:v>
                </c:pt>
                <c:pt idx="41">
                  <c:v>21</c:v>
                </c:pt>
                <c:pt idx="42">
                  <c:v>21</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0-B538-4ABD-A748-2D989C62FA45}"/>
            </c:ext>
          </c:extLst>
        </c:ser>
        <c:ser>
          <c:idx val="0"/>
          <c:order val="1"/>
          <c:tx>
            <c:strRef>
              <c:f>'Hki-2012'!$M$22</c:f>
              <c:strCache>
                <c:ptCount val="1"/>
                <c:pt idx="0">
                  <c:v>Ulkoilman lämpötila</c:v>
                </c:pt>
              </c:strCache>
            </c:strRef>
          </c:tx>
          <c:spPr>
            <a:ln>
              <a:solidFill>
                <a:srgbClr val="0070C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'Hki-2012'!$M$24:$M$74</c:f>
              <c:numCache>
                <c:formatCode>0.0</c:formatCode>
                <c:ptCount val="51"/>
                <c:pt idx="0">
                  <c:v>-20.5</c:v>
                </c:pt>
                <c:pt idx="1">
                  <c:v>-20.5</c:v>
                </c:pt>
                <c:pt idx="2">
                  <c:v>-19.5</c:v>
                </c:pt>
                <c:pt idx="3">
                  <c:v>-18.5</c:v>
                </c:pt>
                <c:pt idx="4">
                  <c:v>-17.5</c:v>
                </c:pt>
                <c:pt idx="5">
                  <c:v>-16.5</c:v>
                </c:pt>
                <c:pt idx="6">
                  <c:v>-15.5</c:v>
                </c:pt>
                <c:pt idx="7">
                  <c:v>-14.5</c:v>
                </c:pt>
                <c:pt idx="8">
                  <c:v>-13.5</c:v>
                </c:pt>
                <c:pt idx="9">
                  <c:v>-12.5</c:v>
                </c:pt>
                <c:pt idx="10">
                  <c:v>-11.5</c:v>
                </c:pt>
                <c:pt idx="11">
                  <c:v>-10.5</c:v>
                </c:pt>
                <c:pt idx="12">
                  <c:v>-9.5</c:v>
                </c:pt>
                <c:pt idx="13">
                  <c:v>-8.5</c:v>
                </c:pt>
                <c:pt idx="14">
                  <c:v>-7.5</c:v>
                </c:pt>
                <c:pt idx="15">
                  <c:v>-6.5</c:v>
                </c:pt>
                <c:pt idx="16">
                  <c:v>-5.5</c:v>
                </c:pt>
                <c:pt idx="17">
                  <c:v>-4.5</c:v>
                </c:pt>
                <c:pt idx="18">
                  <c:v>-3.5</c:v>
                </c:pt>
                <c:pt idx="19">
                  <c:v>-2.5</c:v>
                </c:pt>
                <c:pt idx="20">
                  <c:v>-1.5</c:v>
                </c:pt>
                <c:pt idx="21">
                  <c:v>-0.5</c:v>
                </c:pt>
                <c:pt idx="22">
                  <c:v>0.5</c:v>
                </c:pt>
                <c:pt idx="23">
                  <c:v>1.5</c:v>
                </c:pt>
                <c:pt idx="24">
                  <c:v>2.5</c:v>
                </c:pt>
                <c:pt idx="25">
                  <c:v>3.5</c:v>
                </c:pt>
                <c:pt idx="26">
                  <c:v>4.5</c:v>
                </c:pt>
                <c:pt idx="27">
                  <c:v>5.5</c:v>
                </c:pt>
                <c:pt idx="28">
                  <c:v>6.5</c:v>
                </c:pt>
                <c:pt idx="29">
                  <c:v>7.5</c:v>
                </c:pt>
                <c:pt idx="30">
                  <c:v>8.5</c:v>
                </c:pt>
                <c:pt idx="31">
                  <c:v>9.5</c:v>
                </c:pt>
                <c:pt idx="32">
                  <c:v>10.5</c:v>
                </c:pt>
                <c:pt idx="33">
                  <c:v>11.5</c:v>
                </c:pt>
                <c:pt idx="34">
                  <c:v>12.5</c:v>
                </c:pt>
                <c:pt idx="35">
                  <c:v>13.5</c:v>
                </c:pt>
                <c:pt idx="36">
                  <c:v>14.5</c:v>
                </c:pt>
                <c:pt idx="37">
                  <c:v>15.5</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1-B538-4ABD-A748-2D989C62FA45}"/>
            </c:ext>
          </c:extLst>
        </c:ser>
        <c:ser>
          <c:idx val="5"/>
          <c:order val="2"/>
          <c:tx>
            <c:strRef>
              <c:f>'Hki-2012'!$B$76</c:f>
              <c:strCache>
                <c:ptCount val="1"/>
                <c:pt idx="0">
                  <c:v>Lämmitysraja, ulkolämpötila on 12 °C</c:v>
                </c:pt>
              </c:strCache>
            </c:strRef>
          </c:tx>
          <c:spPr>
            <a:ln w="19050">
              <a:solidFill>
                <a:schemeClr val="tx1"/>
              </a:solidFill>
            </a:ln>
          </c:spPr>
          <c:marker>
            <c:symbol val="none"/>
          </c:marker>
          <c:xVal>
            <c:numRef>
              <c:f>'Hki-2012'!$A$77:$A$78</c:f>
              <c:numCache>
                <c:formatCode>General</c:formatCode>
                <c:ptCount val="2"/>
                <c:pt idx="0">
                  <c:v>72.203196347031962</c:v>
                </c:pt>
                <c:pt idx="1">
                  <c:v>72.203196347031962</c:v>
                </c:pt>
              </c:numCache>
            </c:numRef>
          </c:xVal>
          <c:yVal>
            <c:numRef>
              <c:f>'Hki-2012'!$B$77:$B$78</c:f>
              <c:numCache>
                <c:formatCode>0.00</c:formatCode>
                <c:ptCount val="2"/>
                <c:pt idx="0" formatCode="General">
                  <c:v>-50</c:v>
                </c:pt>
                <c:pt idx="1">
                  <c:v>100</c:v>
                </c:pt>
              </c:numCache>
            </c:numRef>
          </c:yVal>
          <c:smooth val="0"/>
          <c:extLst>
            <c:ext xmlns:c16="http://schemas.microsoft.com/office/drawing/2014/chart" uri="{C3380CC4-5D6E-409C-BE32-E72D297353CC}">
              <c16:uniqueId val="{00000002-B538-4ABD-A748-2D989C62FA45}"/>
            </c:ext>
          </c:extLst>
        </c:ser>
        <c:dLbls>
          <c:showLegendKey val="0"/>
          <c:showVal val="0"/>
          <c:showCatName val="0"/>
          <c:showSerName val="0"/>
          <c:showPercent val="0"/>
          <c:showBubbleSize val="0"/>
        </c:dLbls>
        <c:axId val="173133824"/>
        <c:axId val="173135744"/>
      </c:scatterChart>
      <c:valAx>
        <c:axId val="173133824"/>
        <c:scaling>
          <c:orientation val="minMax"/>
          <c:max val="100"/>
          <c:min val="0"/>
        </c:scaling>
        <c:delete val="0"/>
        <c:axPos val="b"/>
        <c:title>
          <c:tx>
            <c:rich>
              <a:bodyPr/>
              <a:lstStyle/>
              <a:p>
                <a:pPr>
                  <a:defRPr/>
                </a:pPr>
                <a:r>
                  <a:rPr lang="en-US"/>
                  <a:t>Aika vuodessa, %</a:t>
                </a:r>
              </a:p>
            </c:rich>
          </c:tx>
          <c:overlay val="0"/>
        </c:title>
        <c:numFmt formatCode="General" sourceLinked="1"/>
        <c:majorTickMark val="out"/>
        <c:minorTickMark val="none"/>
        <c:tickLblPos val="nextTo"/>
        <c:txPr>
          <a:bodyPr rot="0" vert="horz"/>
          <a:lstStyle/>
          <a:p>
            <a:pPr>
              <a:defRPr/>
            </a:pPr>
            <a:endParaRPr lang="fi-FI"/>
          </a:p>
        </c:txPr>
        <c:crossAx val="173135744"/>
        <c:crossesAt val="-50"/>
        <c:crossBetween val="midCat"/>
      </c:valAx>
      <c:valAx>
        <c:axId val="173135744"/>
        <c:scaling>
          <c:orientation val="minMax"/>
          <c:max val="50"/>
          <c:min val="-30"/>
        </c:scaling>
        <c:delete val="0"/>
        <c:axPos val="l"/>
        <c:majorGridlines/>
        <c:title>
          <c:tx>
            <c:rich>
              <a:bodyPr rot="-5400000" vert="horz"/>
              <a:lstStyle/>
              <a:p>
                <a:pPr>
                  <a:defRPr/>
                </a:pPr>
                <a:r>
                  <a:rPr lang="en-US"/>
                  <a:t>Lämpötila, °C</a:t>
                </a:r>
              </a:p>
            </c:rich>
          </c:tx>
          <c:layout>
            <c:manualLayout>
              <c:xMode val="edge"/>
              <c:yMode val="edge"/>
              <c:x val="0"/>
              <c:y val="0.36449299591197776"/>
            </c:manualLayout>
          </c:layout>
          <c:overlay val="0"/>
        </c:title>
        <c:numFmt formatCode="0" sourceLinked="0"/>
        <c:majorTickMark val="out"/>
        <c:minorTickMark val="none"/>
        <c:tickLblPos val="nextTo"/>
        <c:crossAx val="173133824"/>
        <c:crosses val="autoZero"/>
        <c:crossBetween val="midCat"/>
      </c:valAx>
      <c:spPr>
        <a:ln>
          <a:solidFill>
            <a:schemeClr val="tx1"/>
          </a:solidFill>
        </a:ln>
      </c:spPr>
    </c:plotArea>
    <c:legend>
      <c:legendPos val="r"/>
      <c:legendEntry>
        <c:idx val="2"/>
        <c:delete val="1"/>
      </c:legendEntry>
      <c:layout>
        <c:manualLayout>
          <c:xMode val="edge"/>
          <c:yMode val="edge"/>
          <c:x val="0.3477466178796616"/>
          <c:y val="9.1744946355389781E-2"/>
          <c:w val="0.2264816031257198"/>
          <c:h val="8.9599490853117039E-2"/>
        </c:manualLayout>
      </c:layout>
      <c:overlay val="1"/>
      <c:spPr>
        <a:solidFill>
          <a:schemeClr val="bg1"/>
        </a:solidFill>
      </c:spPr>
    </c:legend>
    <c:plotVisOnly val="0"/>
    <c:dispBlanksAs val="zero"/>
    <c:showDLblsOverMax val="0"/>
  </c:chart>
  <c:spPr>
    <a:ln>
      <a:noFill/>
    </a:ln>
  </c:spPr>
  <c:txPr>
    <a:bodyPr/>
    <a:lstStyle/>
    <a:p>
      <a:pPr>
        <a:defRPr sz="1200">
          <a:latin typeface="Arial" panose="020B0604020202020204" pitchFamily="34" charset="0"/>
          <a:cs typeface="Arial" panose="020B0604020202020204" pitchFamily="34" charset="0"/>
        </a:defRPr>
      </a:pPr>
      <a:endParaRPr lang="fi-FI"/>
    </a:p>
  </c:txPr>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autoTitleDeleted val="0"/>
    <c:plotArea>
      <c:layout>
        <c:manualLayout>
          <c:layoutTarget val="inner"/>
          <c:xMode val="edge"/>
          <c:yMode val="edge"/>
          <c:x val="6.4602447387661355E-2"/>
          <c:y val="1.7336973045748813E-2"/>
          <c:w val="0.9110203643526924"/>
          <c:h val="0.87763367979002627"/>
        </c:manualLayout>
      </c:layout>
      <c:scatterChart>
        <c:scatterStyle val="lineMarker"/>
        <c:varyColors val="0"/>
        <c:ser>
          <c:idx val="4"/>
          <c:order val="0"/>
          <c:tx>
            <c:strRef>
              <c:f>'Hki-2012'!$J$22</c:f>
              <c:strCache>
                <c:ptCount val="1"/>
                <c:pt idx="0">
                  <c:v>Poistoilman lämpötila</c:v>
                </c:pt>
              </c:strCache>
            </c:strRef>
          </c:tx>
          <c:spPr>
            <a:ln>
              <a:solidFill>
                <a:schemeClr val="tx1"/>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'Hki-2012'!$J$24:$J$74</c:f>
              <c:numCache>
                <c:formatCode>0.0</c:formatCode>
                <c:ptCount val="51"/>
                <c:pt idx="0">
                  <c:v>21</c:v>
                </c:pt>
                <c:pt idx="1">
                  <c:v>21</c:v>
                </c:pt>
                <c:pt idx="2">
                  <c:v>21</c:v>
                </c:pt>
                <c:pt idx="3">
                  <c:v>21</c:v>
                </c:pt>
                <c:pt idx="4">
                  <c:v>21</c:v>
                </c:pt>
                <c:pt idx="5">
                  <c:v>21</c:v>
                </c:pt>
                <c:pt idx="6">
                  <c:v>21</c:v>
                </c:pt>
                <c:pt idx="7">
                  <c:v>21</c:v>
                </c:pt>
                <c:pt idx="8">
                  <c:v>21</c:v>
                </c:pt>
                <c:pt idx="9">
                  <c:v>21</c:v>
                </c:pt>
                <c:pt idx="10">
                  <c:v>21</c:v>
                </c:pt>
                <c:pt idx="11">
                  <c:v>21</c:v>
                </c:pt>
                <c:pt idx="12">
                  <c:v>21</c:v>
                </c:pt>
                <c:pt idx="13">
                  <c:v>21</c:v>
                </c:pt>
                <c:pt idx="14">
                  <c:v>21</c:v>
                </c:pt>
                <c:pt idx="15">
                  <c:v>21</c:v>
                </c:pt>
                <c:pt idx="16">
                  <c:v>21</c:v>
                </c:pt>
                <c:pt idx="17">
                  <c:v>21</c:v>
                </c:pt>
                <c:pt idx="18">
                  <c:v>21</c:v>
                </c:pt>
                <c:pt idx="19">
                  <c:v>21</c:v>
                </c:pt>
                <c:pt idx="20">
                  <c:v>21</c:v>
                </c:pt>
                <c:pt idx="21">
                  <c:v>21</c:v>
                </c:pt>
                <c:pt idx="22">
                  <c:v>21</c:v>
                </c:pt>
                <c:pt idx="23">
                  <c:v>21</c:v>
                </c:pt>
                <c:pt idx="24">
                  <c:v>21</c:v>
                </c:pt>
                <c:pt idx="25">
                  <c:v>21</c:v>
                </c:pt>
                <c:pt idx="26">
                  <c:v>21</c:v>
                </c:pt>
                <c:pt idx="27">
                  <c:v>21</c:v>
                </c:pt>
                <c:pt idx="28">
                  <c:v>21</c:v>
                </c:pt>
                <c:pt idx="29">
                  <c:v>21</c:v>
                </c:pt>
                <c:pt idx="30">
                  <c:v>21</c:v>
                </c:pt>
                <c:pt idx="31">
                  <c:v>21</c:v>
                </c:pt>
                <c:pt idx="32">
                  <c:v>21</c:v>
                </c:pt>
                <c:pt idx="33">
                  <c:v>21</c:v>
                </c:pt>
                <c:pt idx="34">
                  <c:v>21</c:v>
                </c:pt>
                <c:pt idx="35">
                  <c:v>21</c:v>
                </c:pt>
                <c:pt idx="36">
                  <c:v>21</c:v>
                </c:pt>
                <c:pt idx="37">
                  <c:v>21</c:v>
                </c:pt>
                <c:pt idx="38">
                  <c:v>21</c:v>
                </c:pt>
                <c:pt idx="39">
                  <c:v>21</c:v>
                </c:pt>
                <c:pt idx="40">
                  <c:v>21</c:v>
                </c:pt>
                <c:pt idx="41">
                  <c:v>21</c:v>
                </c:pt>
                <c:pt idx="42">
                  <c:v>21</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0-CF08-4A1C-861E-60A90F02F8D9}"/>
            </c:ext>
          </c:extLst>
        </c:ser>
        <c:ser>
          <c:idx val="2"/>
          <c:order val="1"/>
          <c:tx>
            <c:strRef>
              <c:f>'Hki-2012'!$K$22</c:f>
              <c:strCache>
                <c:ptCount val="1"/>
                <c:pt idx="0">
                  <c:v>Poistoilman lämpötila PILP:n höyrystimen jälkeen</c:v>
                </c:pt>
              </c:strCache>
            </c:strRef>
          </c:tx>
          <c:spPr>
            <a:ln w="41275">
              <a:solidFill>
                <a:srgbClr val="008000">
                  <a:alpha val="67000"/>
                </a:srgbClr>
              </a:solidFill>
              <a:prstDash val="sysDot"/>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'Hki-2012'!$K$24:$K$74</c:f>
              <c:numCache>
                <c:formatCode>0.0</c:formatCode>
                <c:ptCount val="51"/>
                <c:pt idx="0">
                  <c:v>13.584745762711865</c:v>
                </c:pt>
                <c:pt idx="1">
                  <c:v>13.584745762711865</c:v>
                </c:pt>
                <c:pt idx="2">
                  <c:v>13.584745762711865</c:v>
                </c:pt>
                <c:pt idx="3">
                  <c:v>13.584745762711865</c:v>
                </c:pt>
                <c:pt idx="4">
                  <c:v>13.584745762711865</c:v>
                </c:pt>
                <c:pt idx="5">
                  <c:v>13.584745762711865</c:v>
                </c:pt>
                <c:pt idx="6">
                  <c:v>13.584745762711865</c:v>
                </c:pt>
                <c:pt idx="7">
                  <c:v>13.584745762711865</c:v>
                </c:pt>
                <c:pt idx="8">
                  <c:v>13.584745762711865</c:v>
                </c:pt>
                <c:pt idx="9">
                  <c:v>13.584745762711865</c:v>
                </c:pt>
                <c:pt idx="10">
                  <c:v>13.584745762711865</c:v>
                </c:pt>
                <c:pt idx="11">
                  <c:v>13.584745762711865</c:v>
                </c:pt>
                <c:pt idx="12">
                  <c:v>13.584745762711865</c:v>
                </c:pt>
                <c:pt idx="13">
                  <c:v>13.584745762711865</c:v>
                </c:pt>
                <c:pt idx="14">
                  <c:v>13.584745762711865</c:v>
                </c:pt>
                <c:pt idx="15">
                  <c:v>13.584745762711865</c:v>
                </c:pt>
                <c:pt idx="16">
                  <c:v>13.584745762711865</c:v>
                </c:pt>
                <c:pt idx="17">
                  <c:v>13.584745762711865</c:v>
                </c:pt>
                <c:pt idx="18">
                  <c:v>13.584745762711865</c:v>
                </c:pt>
                <c:pt idx="19">
                  <c:v>13.584745762711865</c:v>
                </c:pt>
                <c:pt idx="20">
                  <c:v>13.584745762711865</c:v>
                </c:pt>
                <c:pt idx="21">
                  <c:v>13.584745762711865</c:v>
                </c:pt>
                <c:pt idx="22">
                  <c:v>13.584745762711865</c:v>
                </c:pt>
                <c:pt idx="23">
                  <c:v>13.584745762711865</c:v>
                </c:pt>
                <c:pt idx="24">
                  <c:v>13.584745762711865</c:v>
                </c:pt>
                <c:pt idx="25">
                  <c:v>13.584745762711865</c:v>
                </c:pt>
                <c:pt idx="26">
                  <c:v>13.584745762711865</c:v>
                </c:pt>
                <c:pt idx="27">
                  <c:v>13.584745762711865</c:v>
                </c:pt>
                <c:pt idx="28">
                  <c:v>13.584745762711865</c:v>
                </c:pt>
                <c:pt idx="29">
                  <c:v>13.584745762711865</c:v>
                </c:pt>
                <c:pt idx="30">
                  <c:v>13.584745762711865</c:v>
                </c:pt>
                <c:pt idx="31">
                  <c:v>13.584745762711865</c:v>
                </c:pt>
                <c:pt idx="32">
                  <c:v>13.584745762711865</c:v>
                </c:pt>
                <c:pt idx="33">
                  <c:v>14.750197081775436</c:v>
                </c:pt>
                <c:pt idx="34">
                  <c:v>15.050927609848664</c:v>
                </c:pt>
                <c:pt idx="35">
                  <c:v>15.351658137921884</c:v>
                </c:pt>
                <c:pt idx="36">
                  <c:v>15.52925470164848</c:v>
                </c:pt>
                <c:pt idx="37">
                  <c:v>15.529254701648478</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1-CF08-4A1C-861E-60A90F02F8D9}"/>
            </c:ext>
          </c:extLst>
        </c:ser>
        <c:ser>
          <c:idx val="3"/>
          <c:order val="2"/>
          <c:tx>
            <c:strRef>
              <c:f>'Hki-2012'!$L$22</c:f>
              <c:strCache>
                <c:ptCount val="1"/>
                <c:pt idx="0">
                  <c:v>Poistoilman lämpötila LTO:n jälkeen</c:v>
                </c:pt>
              </c:strCache>
            </c:strRef>
          </c:tx>
          <c:spPr>
            <a:ln>
              <a:solidFill>
                <a:srgbClr val="00FF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'Hki-2012'!$L$24:$L$74</c:f>
              <c:numCache>
                <c:formatCode>0.0</c:formatCode>
                <c:ptCount val="51"/>
                <c:pt idx="0">
                  <c:v>0</c:v>
                </c:pt>
                <c:pt idx="1">
                  <c:v>0</c:v>
                </c:pt>
                <c:pt idx="2">
                  <c:v>0</c:v>
                </c:pt>
                <c:pt idx="3">
                  <c:v>0</c:v>
                </c:pt>
                <c:pt idx="4">
                  <c:v>0</c:v>
                </c:pt>
                <c:pt idx="5">
                  <c:v>0</c:v>
                </c:pt>
                <c:pt idx="6">
                  <c:v>0</c:v>
                </c:pt>
                <c:pt idx="7">
                  <c:v>0</c:v>
                </c:pt>
                <c:pt idx="8">
                  <c:v>0</c:v>
                </c:pt>
                <c:pt idx="9">
                  <c:v>0</c:v>
                </c:pt>
                <c:pt idx="10">
                  <c:v>0</c:v>
                </c:pt>
                <c:pt idx="11">
                  <c:v>0</c:v>
                </c:pt>
                <c:pt idx="12">
                  <c:v>0.47590799031477005</c:v>
                </c:pt>
                <c:pt idx="13">
                  <c:v>1.0437651331719131</c:v>
                </c:pt>
                <c:pt idx="14">
                  <c:v>1.6116222760290562</c:v>
                </c:pt>
                <c:pt idx="15">
                  <c:v>2.1794794188861992</c:v>
                </c:pt>
                <c:pt idx="16">
                  <c:v>2.7473365617433423</c:v>
                </c:pt>
                <c:pt idx="17">
                  <c:v>3.3151937046004853</c:v>
                </c:pt>
                <c:pt idx="18">
                  <c:v>3.8830508474576284</c:v>
                </c:pt>
                <c:pt idx="19">
                  <c:v>4.4509079903147697</c:v>
                </c:pt>
                <c:pt idx="20">
                  <c:v>5.0187651331719128</c:v>
                </c:pt>
                <c:pt idx="21">
                  <c:v>5.5866222760290558</c:v>
                </c:pt>
                <c:pt idx="22">
                  <c:v>6.1544794188861989</c:v>
                </c:pt>
                <c:pt idx="23">
                  <c:v>6.7223365617433419</c:v>
                </c:pt>
                <c:pt idx="24">
                  <c:v>7.290193704600485</c:v>
                </c:pt>
                <c:pt idx="25">
                  <c:v>7.8580508474576272</c:v>
                </c:pt>
                <c:pt idx="26">
                  <c:v>8.4259079903147693</c:v>
                </c:pt>
                <c:pt idx="27">
                  <c:v>8.9937651331719124</c:v>
                </c:pt>
                <c:pt idx="28">
                  <c:v>9.5616222760290555</c:v>
                </c:pt>
                <c:pt idx="29">
                  <c:v>10.129479418886199</c:v>
                </c:pt>
                <c:pt idx="30">
                  <c:v>10.697336561743342</c:v>
                </c:pt>
                <c:pt idx="31">
                  <c:v>11.265193704600485</c:v>
                </c:pt>
                <c:pt idx="32">
                  <c:v>11.833050847457628</c:v>
                </c:pt>
                <c:pt idx="33">
                  <c:v>12.904549453195813</c:v>
                </c:pt>
                <c:pt idx="34">
                  <c:v>13.602365145684601</c:v>
                </c:pt>
                <c:pt idx="35">
                  <c:v>14.300180838173386</c:v>
                </c:pt>
                <c:pt idx="36">
                  <c:v>14.944785067498094</c:v>
                </c:pt>
                <c:pt idx="37">
                  <c:v>15.512642210355235</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2-CF08-4A1C-861E-60A90F02F8D9}"/>
            </c:ext>
          </c:extLst>
        </c:ser>
        <c:ser>
          <c:idx val="0"/>
          <c:order val="3"/>
          <c:tx>
            <c:strRef>
              <c:f>'Hki-2012'!$M$22</c:f>
              <c:strCache>
                <c:ptCount val="1"/>
                <c:pt idx="0">
                  <c:v>Ulkoilman lämpötila</c:v>
                </c:pt>
              </c:strCache>
            </c:strRef>
          </c:tx>
          <c:spPr>
            <a:ln>
              <a:solidFill>
                <a:srgbClr val="0070C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'Hki-2012'!$M$24:$M$74</c:f>
              <c:numCache>
                <c:formatCode>0.0</c:formatCode>
                <c:ptCount val="51"/>
                <c:pt idx="0">
                  <c:v>-20.5</c:v>
                </c:pt>
                <c:pt idx="1">
                  <c:v>-20.5</c:v>
                </c:pt>
                <c:pt idx="2">
                  <c:v>-19.5</c:v>
                </c:pt>
                <c:pt idx="3">
                  <c:v>-18.5</c:v>
                </c:pt>
                <c:pt idx="4">
                  <c:v>-17.5</c:v>
                </c:pt>
                <c:pt idx="5">
                  <c:v>-16.5</c:v>
                </c:pt>
                <c:pt idx="6">
                  <c:v>-15.5</c:v>
                </c:pt>
                <c:pt idx="7">
                  <c:v>-14.5</c:v>
                </c:pt>
                <c:pt idx="8">
                  <c:v>-13.5</c:v>
                </c:pt>
                <c:pt idx="9">
                  <c:v>-12.5</c:v>
                </c:pt>
                <c:pt idx="10">
                  <c:v>-11.5</c:v>
                </c:pt>
                <c:pt idx="11">
                  <c:v>-10.5</c:v>
                </c:pt>
                <c:pt idx="12">
                  <c:v>-9.5</c:v>
                </c:pt>
                <c:pt idx="13">
                  <c:v>-8.5</c:v>
                </c:pt>
                <c:pt idx="14">
                  <c:v>-7.5</c:v>
                </c:pt>
                <c:pt idx="15">
                  <c:v>-6.5</c:v>
                </c:pt>
                <c:pt idx="16">
                  <c:v>-5.5</c:v>
                </c:pt>
                <c:pt idx="17">
                  <c:v>-4.5</c:v>
                </c:pt>
                <c:pt idx="18">
                  <c:v>-3.5</c:v>
                </c:pt>
                <c:pt idx="19">
                  <c:v>-2.5</c:v>
                </c:pt>
                <c:pt idx="20">
                  <c:v>-1.5</c:v>
                </c:pt>
                <c:pt idx="21">
                  <c:v>-0.5</c:v>
                </c:pt>
                <c:pt idx="22">
                  <c:v>0.5</c:v>
                </c:pt>
                <c:pt idx="23">
                  <c:v>1.5</c:v>
                </c:pt>
                <c:pt idx="24">
                  <c:v>2.5</c:v>
                </c:pt>
                <c:pt idx="25">
                  <c:v>3.5</c:v>
                </c:pt>
                <c:pt idx="26">
                  <c:v>4.5</c:v>
                </c:pt>
                <c:pt idx="27">
                  <c:v>5.5</c:v>
                </c:pt>
                <c:pt idx="28">
                  <c:v>6.5</c:v>
                </c:pt>
                <c:pt idx="29">
                  <c:v>7.5</c:v>
                </c:pt>
                <c:pt idx="30">
                  <c:v>8.5</c:v>
                </c:pt>
                <c:pt idx="31">
                  <c:v>9.5</c:v>
                </c:pt>
                <c:pt idx="32">
                  <c:v>10.5</c:v>
                </c:pt>
                <c:pt idx="33">
                  <c:v>11.5</c:v>
                </c:pt>
                <c:pt idx="34">
                  <c:v>12.5</c:v>
                </c:pt>
                <c:pt idx="35">
                  <c:v>13.5</c:v>
                </c:pt>
                <c:pt idx="36">
                  <c:v>14.5</c:v>
                </c:pt>
                <c:pt idx="37">
                  <c:v>15.5</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3-CF08-4A1C-861E-60A90F02F8D9}"/>
            </c:ext>
          </c:extLst>
        </c:ser>
        <c:ser>
          <c:idx val="5"/>
          <c:order val="4"/>
          <c:tx>
            <c:strRef>
              <c:f>'Hki-2012'!$B$76</c:f>
              <c:strCache>
                <c:ptCount val="1"/>
                <c:pt idx="0">
                  <c:v>Lämmitysraja, ulkolämpötila on 12 °C</c:v>
                </c:pt>
              </c:strCache>
            </c:strRef>
          </c:tx>
          <c:spPr>
            <a:ln w="19050">
              <a:solidFill>
                <a:schemeClr val="tx1"/>
              </a:solidFill>
            </a:ln>
          </c:spPr>
          <c:marker>
            <c:symbol val="none"/>
          </c:marker>
          <c:xVal>
            <c:numRef>
              <c:f>'Hki-2012'!$A$77:$A$78</c:f>
              <c:numCache>
                <c:formatCode>General</c:formatCode>
                <c:ptCount val="2"/>
                <c:pt idx="0">
                  <c:v>72.203196347031962</c:v>
                </c:pt>
                <c:pt idx="1">
                  <c:v>72.203196347031962</c:v>
                </c:pt>
              </c:numCache>
            </c:numRef>
          </c:xVal>
          <c:yVal>
            <c:numRef>
              <c:f>'Hki-2012'!$B$77:$B$78</c:f>
              <c:numCache>
                <c:formatCode>0.00</c:formatCode>
                <c:ptCount val="2"/>
                <c:pt idx="0" formatCode="General">
                  <c:v>-50</c:v>
                </c:pt>
                <c:pt idx="1">
                  <c:v>100</c:v>
                </c:pt>
              </c:numCache>
            </c:numRef>
          </c:yVal>
          <c:smooth val="0"/>
          <c:extLst>
            <c:ext xmlns:c16="http://schemas.microsoft.com/office/drawing/2014/chart" uri="{C3380CC4-5D6E-409C-BE32-E72D297353CC}">
              <c16:uniqueId val="{00000004-CF08-4A1C-861E-60A90F02F8D9}"/>
            </c:ext>
          </c:extLst>
        </c:ser>
        <c:dLbls>
          <c:showLegendKey val="0"/>
          <c:showVal val="0"/>
          <c:showCatName val="0"/>
          <c:showSerName val="0"/>
          <c:showPercent val="0"/>
          <c:showBubbleSize val="0"/>
        </c:dLbls>
        <c:axId val="42454400"/>
        <c:axId val="42460672"/>
      </c:scatterChart>
      <c:valAx>
        <c:axId val="42454400"/>
        <c:scaling>
          <c:orientation val="minMax"/>
          <c:max val="100"/>
          <c:min val="0"/>
        </c:scaling>
        <c:delete val="0"/>
        <c:axPos val="b"/>
        <c:title>
          <c:tx>
            <c:rich>
              <a:bodyPr/>
              <a:lstStyle/>
              <a:p>
                <a:pPr>
                  <a:defRPr/>
                </a:pPr>
                <a:r>
                  <a:rPr lang="en-US"/>
                  <a:t>Aika vuodessa, %</a:t>
                </a:r>
              </a:p>
            </c:rich>
          </c:tx>
          <c:overlay val="0"/>
        </c:title>
        <c:numFmt formatCode="General" sourceLinked="1"/>
        <c:majorTickMark val="out"/>
        <c:minorTickMark val="none"/>
        <c:tickLblPos val="nextTo"/>
        <c:txPr>
          <a:bodyPr rot="0" vert="horz"/>
          <a:lstStyle/>
          <a:p>
            <a:pPr>
              <a:defRPr/>
            </a:pPr>
            <a:endParaRPr lang="fi-FI"/>
          </a:p>
        </c:txPr>
        <c:crossAx val="42460672"/>
        <c:crossesAt val="-50"/>
        <c:crossBetween val="midCat"/>
      </c:valAx>
      <c:valAx>
        <c:axId val="42460672"/>
        <c:scaling>
          <c:orientation val="minMax"/>
          <c:max val="50"/>
          <c:min val="-30"/>
        </c:scaling>
        <c:delete val="0"/>
        <c:axPos val="l"/>
        <c:majorGridlines/>
        <c:title>
          <c:tx>
            <c:rich>
              <a:bodyPr rot="-5400000" vert="horz"/>
              <a:lstStyle/>
              <a:p>
                <a:pPr>
                  <a:defRPr/>
                </a:pPr>
                <a:r>
                  <a:rPr lang="en-US"/>
                  <a:t>Lämpötila, °C</a:t>
                </a:r>
              </a:p>
            </c:rich>
          </c:tx>
          <c:overlay val="0"/>
        </c:title>
        <c:numFmt formatCode="0" sourceLinked="0"/>
        <c:majorTickMark val="out"/>
        <c:minorTickMark val="none"/>
        <c:tickLblPos val="nextTo"/>
        <c:crossAx val="42454400"/>
        <c:crosses val="autoZero"/>
        <c:crossBetween val="midCat"/>
      </c:valAx>
      <c:spPr>
        <a:ln>
          <a:solidFill>
            <a:schemeClr val="tx1"/>
          </a:solidFill>
        </a:ln>
      </c:spPr>
    </c:plotArea>
    <c:legend>
      <c:legendPos val="r"/>
      <c:legendEntry>
        <c:idx val="4"/>
        <c:delete val="1"/>
      </c:legendEntry>
      <c:layout>
        <c:manualLayout>
          <c:xMode val="edge"/>
          <c:yMode val="edge"/>
          <c:x val="0.15041455997864508"/>
          <c:y val="7.0830215475395294E-2"/>
          <c:w val="0.41683895116558706"/>
          <c:h val="0.15456268400574266"/>
        </c:manualLayout>
      </c:layout>
      <c:overlay val="1"/>
      <c:spPr>
        <a:solidFill>
          <a:schemeClr val="bg1"/>
        </a:solidFill>
      </c:spPr>
    </c:legend>
    <c:plotVisOnly val="1"/>
    <c:dispBlanksAs val="gap"/>
    <c:showDLblsOverMax val="0"/>
  </c:chart>
  <c:spPr>
    <a:ln>
      <a:noFill/>
    </a:ln>
  </c:spPr>
  <c:txPr>
    <a:bodyPr/>
    <a:lstStyle/>
    <a:p>
      <a:pPr>
        <a:defRPr sz="1200">
          <a:latin typeface="Arial" panose="020B0604020202020204" pitchFamily="34" charset="0"/>
          <a:cs typeface="Arial" panose="020B0604020202020204" pitchFamily="34" charset="0"/>
        </a:defRPr>
      </a:pPr>
      <a:endParaRPr lang="fi-FI"/>
    </a:p>
  </c:txPr>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autoTitleDeleted val="0"/>
    <c:plotArea>
      <c:layout>
        <c:manualLayout>
          <c:layoutTarget val="inner"/>
          <c:xMode val="edge"/>
          <c:yMode val="edge"/>
          <c:x val="8.822754914256406E-2"/>
          <c:y val="1.5643439306928738E-2"/>
          <c:w val="0.8901112506454737"/>
          <c:h val="0.87604708244532647"/>
        </c:manualLayout>
      </c:layout>
      <c:scatterChart>
        <c:scatterStyle val="lineMarker"/>
        <c:varyColors val="0"/>
        <c:ser>
          <c:idx val="1"/>
          <c:order val="0"/>
          <c:tx>
            <c:strRef>
              <c:f>'Hki-2012'!$T$22</c:f>
              <c:strCache>
                <c:ptCount val="1"/>
                <c:pt idx="0">
                  <c:v>Tuloilman lämpötila bruttolämmöntarpeen mukaan</c:v>
                </c:pt>
              </c:strCache>
            </c:strRef>
          </c:tx>
          <c:spPr>
            <a:ln>
              <a:solidFill>
                <a:schemeClr val="accent6">
                  <a:lumMod val="75000"/>
                </a:schemeClr>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'Hki-2012'!$T$24:$T$74</c:f>
              <c:numCache>
                <c:formatCode>0</c:formatCode>
                <c:ptCount val="51"/>
                <c:pt idx="0">
                  <c:v>93.400124924614474</c:v>
                </c:pt>
                <c:pt idx="1">
                  <c:v>93.400124924614474</c:v>
                </c:pt>
                <c:pt idx="2">
                  <c:v>91.900124924614474</c:v>
                </c:pt>
                <c:pt idx="3">
                  <c:v>90.400124924614474</c:v>
                </c:pt>
                <c:pt idx="4">
                  <c:v>88.90012492461446</c:v>
                </c:pt>
                <c:pt idx="5">
                  <c:v>87.400124924614474</c:v>
                </c:pt>
                <c:pt idx="6">
                  <c:v>85.900124924614474</c:v>
                </c:pt>
                <c:pt idx="7">
                  <c:v>84.400124924614488</c:v>
                </c:pt>
                <c:pt idx="8">
                  <c:v>82.900124924614474</c:v>
                </c:pt>
                <c:pt idx="9">
                  <c:v>81.400124924614474</c:v>
                </c:pt>
                <c:pt idx="10">
                  <c:v>79.900124924614488</c:v>
                </c:pt>
                <c:pt idx="11">
                  <c:v>78.400124924614474</c:v>
                </c:pt>
                <c:pt idx="12">
                  <c:v>76.900124924614474</c:v>
                </c:pt>
                <c:pt idx="13">
                  <c:v>75.400124924614474</c:v>
                </c:pt>
                <c:pt idx="14">
                  <c:v>73.900124924614474</c:v>
                </c:pt>
                <c:pt idx="15">
                  <c:v>72.400124924614488</c:v>
                </c:pt>
                <c:pt idx="16">
                  <c:v>70.900124924614474</c:v>
                </c:pt>
                <c:pt idx="17">
                  <c:v>69.400124924614474</c:v>
                </c:pt>
                <c:pt idx="18">
                  <c:v>67.90012492461446</c:v>
                </c:pt>
                <c:pt idx="19">
                  <c:v>66.400124924614474</c:v>
                </c:pt>
                <c:pt idx="20">
                  <c:v>64.90012492461446</c:v>
                </c:pt>
                <c:pt idx="21">
                  <c:v>63.400124924614467</c:v>
                </c:pt>
                <c:pt idx="22">
                  <c:v>61.90012492461446</c:v>
                </c:pt>
                <c:pt idx="23">
                  <c:v>60.40012492461446</c:v>
                </c:pt>
                <c:pt idx="24">
                  <c:v>58.90012492461446</c:v>
                </c:pt>
                <c:pt idx="25">
                  <c:v>57.400124924614467</c:v>
                </c:pt>
                <c:pt idx="26">
                  <c:v>55.90012492461446</c:v>
                </c:pt>
                <c:pt idx="27">
                  <c:v>54.400124924614467</c:v>
                </c:pt>
                <c:pt idx="28">
                  <c:v>52.900124924614467</c:v>
                </c:pt>
                <c:pt idx="29">
                  <c:v>51.40012492461446</c:v>
                </c:pt>
                <c:pt idx="30">
                  <c:v>49.900124924614467</c:v>
                </c:pt>
                <c:pt idx="31">
                  <c:v>48.40012492461446</c:v>
                </c:pt>
                <c:pt idx="32">
                  <c:v>46.900124924614467</c:v>
                </c:pt>
                <c:pt idx="33">
                  <c:v>45.400124924614452</c:v>
                </c:pt>
                <c:pt idx="34">
                  <c:v>43.90012492461446</c:v>
                </c:pt>
                <c:pt idx="35">
                  <c:v>42.40012492461446</c:v>
                </c:pt>
                <c:pt idx="36">
                  <c:v>40.90012492461446</c:v>
                </c:pt>
                <c:pt idx="37">
                  <c:v>39.40012492461446</c:v>
                </c:pt>
                <c:pt idx="38">
                  <c:v>37.90012492461446</c:v>
                </c:pt>
                <c:pt idx="39">
                  <c:v>36.40012492461446</c:v>
                </c:pt>
                <c:pt idx="40">
                  <c:v>34.90012492461446</c:v>
                </c:pt>
                <c:pt idx="41">
                  <c:v>33.40012492461446</c:v>
                </c:pt>
                <c:pt idx="42">
                  <c:v>31.90012492461446</c:v>
                </c:pt>
                <c:pt idx="43">
                  <c:v>31.65012492461446</c:v>
                </c:pt>
                <c:pt idx="44">
                  <c:v>32.65012492461446</c:v>
                </c:pt>
                <c:pt idx="45">
                  <c:v>33.65012492461446</c:v>
                </c:pt>
                <c:pt idx="46">
                  <c:v>34.65012492461446</c:v>
                </c:pt>
                <c:pt idx="47">
                  <c:v>35.65012492461446</c:v>
                </c:pt>
                <c:pt idx="48">
                  <c:v>36.65012492461446</c:v>
                </c:pt>
                <c:pt idx="49">
                  <c:v>37.65012492461446</c:v>
                </c:pt>
                <c:pt idx="50">
                  <c:v>38.65012492461446</c:v>
                </c:pt>
              </c:numCache>
            </c:numRef>
          </c:yVal>
          <c:smooth val="0"/>
          <c:extLst>
            <c:ext xmlns:c16="http://schemas.microsoft.com/office/drawing/2014/chart" uri="{C3380CC4-5D6E-409C-BE32-E72D297353CC}">
              <c16:uniqueId val="{00000000-C892-4AA0-A463-B745A5CFB34F}"/>
            </c:ext>
          </c:extLst>
        </c:ser>
        <c:ser>
          <c:idx val="3"/>
          <c:order val="1"/>
          <c:tx>
            <c:strRef>
              <c:f>'Hki-2012'!$U$22</c:f>
              <c:strCache>
                <c:ptCount val="1"/>
                <c:pt idx="0">
                  <c:v>Tuloilman lämpötila nettolämmöntarpeen mukaan</c:v>
                </c:pt>
              </c:strCache>
            </c:strRef>
          </c:tx>
          <c:spPr>
            <a:ln>
              <a:solidFill>
                <a:srgbClr val="C00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'Hki-2012'!$U$24:$U$74</c:f>
              <c:numCache>
                <c:formatCode>0</c:formatCode>
                <c:ptCount val="51"/>
                <c:pt idx="0">
                  <c:v>85.079370207633332</c:v>
                </c:pt>
                <c:pt idx="1">
                  <c:v>85.079370207633332</c:v>
                </c:pt>
                <c:pt idx="2">
                  <c:v>83.500744606518793</c:v>
                </c:pt>
                <c:pt idx="3">
                  <c:v>80.862283794236262</c:v>
                </c:pt>
                <c:pt idx="4">
                  <c:v>77.947386104460861</c:v>
                </c:pt>
                <c:pt idx="5">
                  <c:v>73.429635278149391</c:v>
                </c:pt>
                <c:pt idx="6">
                  <c:v>73.187495375681692</c:v>
                </c:pt>
                <c:pt idx="7">
                  <c:v>75.16225370034816</c:v>
                </c:pt>
                <c:pt idx="8">
                  <c:v>73.094558611380606</c:v>
                </c:pt>
                <c:pt idx="9">
                  <c:v>71.133014427891823</c:v>
                </c:pt>
                <c:pt idx="10">
                  <c:v>70.014900917514254</c:v>
                </c:pt>
                <c:pt idx="11">
                  <c:v>66.993815325876099</c:v>
                </c:pt>
                <c:pt idx="12">
                  <c:v>65.924759721447089</c:v>
                </c:pt>
                <c:pt idx="13">
                  <c:v>65.495127131099537</c:v>
                </c:pt>
                <c:pt idx="14">
                  <c:v>63.015069169105445</c:v>
                </c:pt>
                <c:pt idx="15">
                  <c:v>60.594619542066653</c:v>
                </c:pt>
                <c:pt idx="16">
                  <c:v>59.303240341434361</c:v>
                </c:pt>
                <c:pt idx="17">
                  <c:v>58.402875906187738</c:v>
                </c:pt>
                <c:pt idx="18">
                  <c:v>56.506051514683385</c:v>
                </c:pt>
                <c:pt idx="19">
                  <c:v>55.97852993260576</c:v>
                </c:pt>
                <c:pt idx="20">
                  <c:v>53.429404968699593</c:v>
                </c:pt>
                <c:pt idx="21">
                  <c:v>51.802098758767578</c:v>
                </c:pt>
                <c:pt idx="22">
                  <c:v>50.606358820380315</c:v>
                </c:pt>
                <c:pt idx="23">
                  <c:v>48.601763429993227</c:v>
                </c:pt>
                <c:pt idx="24">
                  <c:v>45.492764954327846</c:v>
                </c:pt>
                <c:pt idx="25">
                  <c:v>43.389601557170828</c:v>
                </c:pt>
                <c:pt idx="26">
                  <c:v>40.596687208882805</c:v>
                </c:pt>
                <c:pt idx="27">
                  <c:v>38.341494695470487</c:v>
                </c:pt>
                <c:pt idx="28">
                  <c:v>39.662429865324611</c:v>
                </c:pt>
                <c:pt idx="29">
                  <c:v>35.469154778791136</c:v>
                </c:pt>
                <c:pt idx="30">
                  <c:v>33.703199823535776</c:v>
                </c:pt>
                <c:pt idx="31">
                  <c:v>29.736742549278119</c:v>
                </c:pt>
                <c:pt idx="32">
                  <c:v>27.176486602519315</c:v>
                </c:pt>
                <c:pt idx="33">
                  <c:v>25.150124924614452</c:v>
                </c:pt>
                <c:pt idx="34">
                  <c:v>25.150124924614452</c:v>
                </c:pt>
                <c:pt idx="35">
                  <c:v>25.150124924614452</c:v>
                </c:pt>
                <c:pt idx="36">
                  <c:v>25.300760932442241</c:v>
                </c:pt>
                <c:pt idx="37">
                  <c:v>25.668618075299392</c:v>
                </c:pt>
                <c:pt idx="38">
                  <c:v>26.65012492461446</c:v>
                </c:pt>
                <c:pt idx="39">
                  <c:v>27.65012492461446</c:v>
                </c:pt>
                <c:pt idx="40">
                  <c:v>28.65012492461446</c:v>
                </c:pt>
                <c:pt idx="41">
                  <c:v>29.65012492461446</c:v>
                </c:pt>
                <c:pt idx="42">
                  <c:v>30.65012492461446</c:v>
                </c:pt>
                <c:pt idx="43">
                  <c:v>31.65012492461446</c:v>
                </c:pt>
                <c:pt idx="44">
                  <c:v>32.65012492461446</c:v>
                </c:pt>
                <c:pt idx="45">
                  <c:v>33.65012492461446</c:v>
                </c:pt>
                <c:pt idx="46">
                  <c:v>34.65012492461446</c:v>
                </c:pt>
                <c:pt idx="47">
                  <c:v>35.65012492461446</c:v>
                </c:pt>
                <c:pt idx="48">
                  <c:v>36.65012492461446</c:v>
                </c:pt>
                <c:pt idx="49">
                  <c:v>37.65012492461446</c:v>
                </c:pt>
                <c:pt idx="50">
                  <c:v>38.65012492461446</c:v>
                </c:pt>
              </c:numCache>
            </c:numRef>
          </c:yVal>
          <c:smooth val="0"/>
          <c:extLst>
            <c:ext xmlns:c16="http://schemas.microsoft.com/office/drawing/2014/chart" uri="{C3380CC4-5D6E-409C-BE32-E72D297353CC}">
              <c16:uniqueId val="{00000001-C892-4AA0-A463-B745A5CFB34F}"/>
            </c:ext>
          </c:extLst>
        </c:ser>
        <c:ser>
          <c:idx val="4"/>
          <c:order val="2"/>
          <c:tx>
            <c:strRef>
              <c:f>'Hki-2012'!$J$22</c:f>
              <c:strCache>
                <c:ptCount val="1"/>
                <c:pt idx="0">
                  <c:v>Poistoilman lämpötila</c:v>
                </c:pt>
              </c:strCache>
            </c:strRef>
          </c:tx>
          <c:spPr>
            <a:ln>
              <a:solidFill>
                <a:schemeClr val="tx1"/>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'Hki-2012'!$J$24:$J$74</c:f>
              <c:numCache>
                <c:formatCode>0.0</c:formatCode>
                <c:ptCount val="51"/>
                <c:pt idx="0">
                  <c:v>21</c:v>
                </c:pt>
                <c:pt idx="1">
                  <c:v>21</c:v>
                </c:pt>
                <c:pt idx="2">
                  <c:v>21</c:v>
                </c:pt>
                <c:pt idx="3">
                  <c:v>21</c:v>
                </c:pt>
                <c:pt idx="4">
                  <c:v>21</c:v>
                </c:pt>
                <c:pt idx="5">
                  <c:v>21</c:v>
                </c:pt>
                <c:pt idx="6">
                  <c:v>21</c:v>
                </c:pt>
                <c:pt idx="7">
                  <c:v>21</c:v>
                </c:pt>
                <c:pt idx="8">
                  <c:v>21</c:v>
                </c:pt>
                <c:pt idx="9">
                  <c:v>21</c:v>
                </c:pt>
                <c:pt idx="10">
                  <c:v>21</c:v>
                </c:pt>
                <c:pt idx="11">
                  <c:v>21</c:v>
                </c:pt>
                <c:pt idx="12">
                  <c:v>21</c:v>
                </c:pt>
                <c:pt idx="13">
                  <c:v>21</c:v>
                </c:pt>
                <c:pt idx="14">
                  <c:v>21</c:v>
                </c:pt>
                <c:pt idx="15">
                  <c:v>21</c:v>
                </c:pt>
                <c:pt idx="16">
                  <c:v>21</c:v>
                </c:pt>
                <c:pt idx="17">
                  <c:v>21</c:v>
                </c:pt>
                <c:pt idx="18">
                  <c:v>21</c:v>
                </c:pt>
                <c:pt idx="19">
                  <c:v>21</c:v>
                </c:pt>
                <c:pt idx="20">
                  <c:v>21</c:v>
                </c:pt>
                <c:pt idx="21">
                  <c:v>21</c:v>
                </c:pt>
                <c:pt idx="22">
                  <c:v>21</c:v>
                </c:pt>
                <c:pt idx="23">
                  <c:v>21</c:v>
                </c:pt>
                <c:pt idx="24">
                  <c:v>21</c:v>
                </c:pt>
                <c:pt idx="25">
                  <c:v>21</c:v>
                </c:pt>
                <c:pt idx="26">
                  <c:v>21</c:v>
                </c:pt>
                <c:pt idx="27">
                  <c:v>21</c:v>
                </c:pt>
                <c:pt idx="28">
                  <c:v>21</c:v>
                </c:pt>
                <c:pt idx="29">
                  <c:v>21</c:v>
                </c:pt>
                <c:pt idx="30">
                  <c:v>21</c:v>
                </c:pt>
                <c:pt idx="31">
                  <c:v>21</c:v>
                </c:pt>
                <c:pt idx="32">
                  <c:v>21</c:v>
                </c:pt>
                <c:pt idx="33">
                  <c:v>21</c:v>
                </c:pt>
                <c:pt idx="34">
                  <c:v>21</c:v>
                </c:pt>
                <c:pt idx="35">
                  <c:v>21</c:v>
                </c:pt>
                <c:pt idx="36">
                  <c:v>21</c:v>
                </c:pt>
                <c:pt idx="37">
                  <c:v>21</c:v>
                </c:pt>
                <c:pt idx="38">
                  <c:v>21</c:v>
                </c:pt>
                <c:pt idx="39">
                  <c:v>21</c:v>
                </c:pt>
                <c:pt idx="40">
                  <c:v>21</c:v>
                </c:pt>
                <c:pt idx="41">
                  <c:v>21</c:v>
                </c:pt>
                <c:pt idx="42">
                  <c:v>21</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2-C892-4AA0-A463-B745A5CFB34F}"/>
            </c:ext>
          </c:extLst>
        </c:ser>
        <c:ser>
          <c:idx val="8"/>
          <c:order val="3"/>
          <c:tx>
            <c:strRef>
              <c:f>'Hki-2012'!$P$22</c:f>
              <c:strCache>
                <c:ptCount val="1"/>
                <c:pt idx="0">
                  <c:v>Tuloilman lämpötila jälkilämmityksen jälkeen</c:v>
                </c:pt>
              </c:strCache>
            </c:strRef>
          </c:tx>
          <c:spPr>
            <a:ln>
              <a:solidFill>
                <a:srgbClr val="FF0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'Hki-2012'!$P$24:$P$74</c:f>
              <c:numCache>
                <c:formatCode>0.0</c:formatCode>
                <c:ptCount val="51"/>
                <c:pt idx="0">
                  <c:v>15</c:v>
                </c:pt>
                <c:pt idx="1">
                  <c:v>15</c:v>
                </c:pt>
                <c:pt idx="2">
                  <c:v>15</c:v>
                </c:pt>
                <c:pt idx="3">
                  <c:v>15</c:v>
                </c:pt>
                <c:pt idx="4">
                  <c:v>15</c:v>
                </c:pt>
                <c:pt idx="5">
                  <c:v>15</c:v>
                </c:pt>
                <c:pt idx="6">
                  <c:v>15</c:v>
                </c:pt>
                <c:pt idx="7">
                  <c:v>15</c:v>
                </c:pt>
                <c:pt idx="8">
                  <c:v>15</c:v>
                </c:pt>
                <c:pt idx="9">
                  <c:v>15</c:v>
                </c:pt>
                <c:pt idx="10">
                  <c:v>15</c:v>
                </c:pt>
                <c:pt idx="11">
                  <c:v>15</c:v>
                </c:pt>
                <c:pt idx="12">
                  <c:v>15</c:v>
                </c:pt>
                <c:pt idx="13">
                  <c:v>15</c:v>
                </c:pt>
                <c:pt idx="14">
                  <c:v>15</c:v>
                </c:pt>
                <c:pt idx="15">
                  <c:v>15</c:v>
                </c:pt>
                <c:pt idx="16">
                  <c:v>15</c:v>
                </c:pt>
                <c:pt idx="17">
                  <c:v>15</c:v>
                </c:pt>
                <c:pt idx="18">
                  <c:v>15</c:v>
                </c:pt>
                <c:pt idx="19">
                  <c:v>15</c:v>
                </c:pt>
                <c:pt idx="20">
                  <c:v>15</c:v>
                </c:pt>
                <c:pt idx="21">
                  <c:v>15</c:v>
                </c:pt>
                <c:pt idx="22">
                  <c:v>15</c:v>
                </c:pt>
                <c:pt idx="23">
                  <c:v>15</c:v>
                </c:pt>
                <c:pt idx="24">
                  <c:v>15</c:v>
                </c:pt>
                <c:pt idx="25">
                  <c:v>15</c:v>
                </c:pt>
                <c:pt idx="26">
                  <c:v>15</c:v>
                </c:pt>
                <c:pt idx="27">
                  <c:v>15</c:v>
                </c:pt>
                <c:pt idx="28">
                  <c:v>15</c:v>
                </c:pt>
                <c:pt idx="29">
                  <c:v>15</c:v>
                </c:pt>
                <c:pt idx="30">
                  <c:v>15</c:v>
                </c:pt>
                <c:pt idx="31">
                  <c:v>15</c:v>
                </c:pt>
                <c:pt idx="32">
                  <c:v>15</c:v>
                </c:pt>
                <c:pt idx="33">
                  <c:v>15</c:v>
                </c:pt>
                <c:pt idx="34">
                  <c:v>15</c:v>
                </c:pt>
                <c:pt idx="35">
                  <c:v>15</c:v>
                </c:pt>
                <c:pt idx="36">
                  <c:v>15.150636007827789</c:v>
                </c:pt>
                <c:pt idx="37">
                  <c:v>15.518493150684931</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3-C892-4AA0-A463-B745A5CFB34F}"/>
            </c:ext>
          </c:extLst>
        </c:ser>
        <c:ser>
          <c:idx val="7"/>
          <c:order val="4"/>
          <c:tx>
            <c:strRef>
              <c:f>'Hki-2012'!$O$22</c:f>
              <c:strCache>
                <c:ptCount val="1"/>
                <c:pt idx="0">
                  <c:v>Tuloilman lämpötila PILP:n lauhduttimen jälkeen</c:v>
                </c:pt>
              </c:strCache>
            </c:strRef>
          </c:tx>
          <c:spPr>
            <a:ln>
              <a:solidFill>
                <a:srgbClr val="008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'Hki-2012'!$O$24:$O$74</c:f>
              <c:numCache>
                <c:formatCode>0.0</c:formatCode>
                <c:ptCount val="51"/>
                <c:pt idx="0">
                  <c:v>-5.3773584905660368</c:v>
                </c:pt>
                <c:pt idx="1">
                  <c:v>-5.3773584905660368</c:v>
                </c:pt>
                <c:pt idx="2">
                  <c:v>-4.3773584905660368</c:v>
                </c:pt>
                <c:pt idx="3">
                  <c:v>-3.3773584905660368</c:v>
                </c:pt>
                <c:pt idx="4">
                  <c:v>-2.3773584905660368</c:v>
                </c:pt>
                <c:pt idx="5">
                  <c:v>-1.3773584905660368</c:v>
                </c:pt>
                <c:pt idx="6">
                  <c:v>-0.37735849056603676</c:v>
                </c:pt>
                <c:pt idx="7">
                  <c:v>0.62264150943396324</c:v>
                </c:pt>
                <c:pt idx="8">
                  <c:v>1.6226415094339632</c:v>
                </c:pt>
                <c:pt idx="9">
                  <c:v>2.6226415094339632</c:v>
                </c:pt>
                <c:pt idx="10">
                  <c:v>3.6226415094339632</c:v>
                </c:pt>
                <c:pt idx="11">
                  <c:v>4.6226415094339632</c:v>
                </c:pt>
                <c:pt idx="12">
                  <c:v>5.0928571428571434</c:v>
                </c:pt>
                <c:pt idx="13">
                  <c:v>5.4607142857142854</c:v>
                </c:pt>
                <c:pt idx="14">
                  <c:v>5.8285714285714292</c:v>
                </c:pt>
                <c:pt idx="15">
                  <c:v>6.1964285714285712</c:v>
                </c:pt>
                <c:pt idx="16">
                  <c:v>6.5642857142857132</c:v>
                </c:pt>
                <c:pt idx="17">
                  <c:v>6.9321428571428569</c:v>
                </c:pt>
                <c:pt idx="18">
                  <c:v>7.2999999999999989</c:v>
                </c:pt>
                <c:pt idx="19">
                  <c:v>7.6678571428571445</c:v>
                </c:pt>
                <c:pt idx="20">
                  <c:v>8.0357142857142865</c:v>
                </c:pt>
                <c:pt idx="21">
                  <c:v>8.4035714285714285</c:v>
                </c:pt>
                <c:pt idx="22">
                  <c:v>8.7714285714285722</c:v>
                </c:pt>
                <c:pt idx="23">
                  <c:v>9.1392857142857142</c:v>
                </c:pt>
                <c:pt idx="24">
                  <c:v>9.5071428571428562</c:v>
                </c:pt>
                <c:pt idx="25">
                  <c:v>9.875</c:v>
                </c:pt>
                <c:pt idx="26">
                  <c:v>10.242857142857144</c:v>
                </c:pt>
                <c:pt idx="27">
                  <c:v>10.610714285714288</c:v>
                </c:pt>
                <c:pt idx="28">
                  <c:v>10.97857142857143</c:v>
                </c:pt>
                <c:pt idx="29">
                  <c:v>11.346428571428572</c:v>
                </c:pt>
                <c:pt idx="30">
                  <c:v>11.714285714285715</c:v>
                </c:pt>
                <c:pt idx="31">
                  <c:v>12.082142857142857</c:v>
                </c:pt>
                <c:pt idx="32">
                  <c:v>12.45</c:v>
                </c:pt>
                <c:pt idx="33">
                  <c:v>13.554588869550901</c:v>
                </c:pt>
                <c:pt idx="34">
                  <c:v>14.112550667654334</c:v>
                </c:pt>
                <c:pt idx="35">
                  <c:v>14.670512465757762</c:v>
                </c:pt>
                <c:pt idx="36">
                  <c:v>15.150636007827789</c:v>
                </c:pt>
                <c:pt idx="37">
                  <c:v>15.518493150684931</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4-C892-4AA0-A463-B745A5CFB34F}"/>
            </c:ext>
          </c:extLst>
        </c:ser>
        <c:ser>
          <c:idx val="6"/>
          <c:order val="5"/>
          <c:tx>
            <c:strRef>
              <c:f>'Hki-2012'!$Q$22</c:f>
              <c:strCache>
                <c:ptCount val="1"/>
                <c:pt idx="0">
                  <c:v>Tuloilman lämpötila PILP:n kompressorin jälkeen</c:v>
                </c:pt>
              </c:strCache>
            </c:strRef>
          </c:tx>
          <c:spPr>
            <a:ln>
              <a:solidFill>
                <a:srgbClr val="7030A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'Hki-2012'!$Q$24:$Q$74</c:f>
              <c:numCache>
                <c:formatCode>0.0</c:formatCode>
                <c:ptCount val="51"/>
                <c:pt idx="0">
                  <c:v>0.12578616352201433</c:v>
                </c:pt>
                <c:pt idx="1">
                  <c:v>0.12578616352201433</c:v>
                </c:pt>
                <c:pt idx="2">
                  <c:v>1.1257861635220143</c:v>
                </c:pt>
                <c:pt idx="3">
                  <c:v>2.1257861635220143</c:v>
                </c:pt>
                <c:pt idx="4">
                  <c:v>3.1257861635220143</c:v>
                </c:pt>
                <c:pt idx="5">
                  <c:v>4.1257861635220143</c:v>
                </c:pt>
                <c:pt idx="6">
                  <c:v>5.1257861635220143</c:v>
                </c:pt>
                <c:pt idx="7">
                  <c:v>6.1257861635220143</c:v>
                </c:pt>
                <c:pt idx="8">
                  <c:v>7.1257861635220143</c:v>
                </c:pt>
                <c:pt idx="9">
                  <c:v>8.1257861635220152</c:v>
                </c:pt>
                <c:pt idx="10">
                  <c:v>9.1257861635220152</c:v>
                </c:pt>
                <c:pt idx="11">
                  <c:v>10.125786163522015</c:v>
                </c:pt>
                <c:pt idx="12">
                  <c:v>10.596001796945195</c:v>
                </c:pt>
                <c:pt idx="13">
                  <c:v>10.963858939802336</c:v>
                </c:pt>
                <c:pt idx="14">
                  <c:v>11.331716082659479</c:v>
                </c:pt>
                <c:pt idx="15">
                  <c:v>11.699573225516623</c:v>
                </c:pt>
                <c:pt idx="16">
                  <c:v>12.067430368373763</c:v>
                </c:pt>
                <c:pt idx="17">
                  <c:v>12.435287511230907</c:v>
                </c:pt>
                <c:pt idx="18">
                  <c:v>12.803144654088051</c:v>
                </c:pt>
                <c:pt idx="19">
                  <c:v>13.171001796945195</c:v>
                </c:pt>
                <c:pt idx="20">
                  <c:v>13.538858939802338</c:v>
                </c:pt>
                <c:pt idx="21">
                  <c:v>13.906716082659479</c:v>
                </c:pt>
                <c:pt idx="22">
                  <c:v>14.274573225516622</c:v>
                </c:pt>
                <c:pt idx="23">
                  <c:v>14.642430368373766</c:v>
                </c:pt>
                <c:pt idx="24">
                  <c:v>15.010287511230906</c:v>
                </c:pt>
                <c:pt idx="25">
                  <c:v>15.37814465408805</c:v>
                </c:pt>
                <c:pt idx="26">
                  <c:v>15.746001796945194</c:v>
                </c:pt>
                <c:pt idx="27">
                  <c:v>16.113858939802338</c:v>
                </c:pt>
                <c:pt idx="28">
                  <c:v>16.481716082659482</c:v>
                </c:pt>
                <c:pt idx="29">
                  <c:v>16.849573225516622</c:v>
                </c:pt>
                <c:pt idx="30">
                  <c:v>17.217430368373766</c:v>
                </c:pt>
                <c:pt idx="31">
                  <c:v>17.585287511230909</c:v>
                </c:pt>
                <c:pt idx="32">
                  <c:v>17.953144654088049</c:v>
                </c:pt>
                <c:pt idx="33">
                  <c:v>18.192803291576325</c:v>
                </c:pt>
                <c:pt idx="34">
                  <c:v>18.527580370438383</c:v>
                </c:pt>
                <c:pt idx="35">
                  <c:v>18.86235744930044</c:v>
                </c:pt>
                <c:pt idx="36">
                  <c:v>19.21068597767357</c:v>
                </c:pt>
                <c:pt idx="37">
                  <c:v>19.578543120530714</c:v>
                </c:pt>
                <c:pt idx="38">
                  <c:v>19.839622641509433</c:v>
                </c:pt>
                <c:pt idx="39">
                  <c:v>20.09748427672956</c:v>
                </c:pt>
                <c:pt idx="40">
                  <c:v>20.355345911949687</c:v>
                </c:pt>
                <c:pt idx="41">
                  <c:v>20.613207547169811</c:v>
                </c:pt>
                <c:pt idx="42">
                  <c:v>20.871069182389938</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5-C892-4AA0-A463-B745A5CFB34F}"/>
            </c:ext>
          </c:extLst>
        </c:ser>
        <c:ser>
          <c:idx val="2"/>
          <c:order val="6"/>
          <c:tx>
            <c:strRef>
              <c:f>'Hki-2012'!$N$22</c:f>
              <c:strCache>
                <c:ptCount val="1"/>
                <c:pt idx="0">
                  <c:v>Tuloilman lämpötila LTO:n jälkeen</c:v>
                </c:pt>
              </c:strCache>
            </c:strRef>
          </c:tx>
          <c:spPr>
            <a:ln>
              <a:solidFill>
                <a:srgbClr val="00FF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'Hki-2012'!$N$24:$N$74</c:f>
              <c:numCache>
                <c:formatCode>0.0</c:formatCode>
                <c:ptCount val="51"/>
                <c:pt idx="0">
                  <c:v>-5.3773584905660368</c:v>
                </c:pt>
                <c:pt idx="1">
                  <c:v>-5.3773584905660368</c:v>
                </c:pt>
                <c:pt idx="2">
                  <c:v>-4.3773584905660368</c:v>
                </c:pt>
                <c:pt idx="3">
                  <c:v>-3.3773584905660368</c:v>
                </c:pt>
                <c:pt idx="4">
                  <c:v>-2.3773584905660368</c:v>
                </c:pt>
                <c:pt idx="5">
                  <c:v>-1.3773584905660368</c:v>
                </c:pt>
                <c:pt idx="6">
                  <c:v>-0.37735849056603676</c:v>
                </c:pt>
                <c:pt idx="7">
                  <c:v>0.62264150943396324</c:v>
                </c:pt>
                <c:pt idx="8">
                  <c:v>1.6226415094339632</c:v>
                </c:pt>
                <c:pt idx="9">
                  <c:v>2.6226415094339632</c:v>
                </c:pt>
                <c:pt idx="10">
                  <c:v>3.6226415094339632</c:v>
                </c:pt>
                <c:pt idx="11">
                  <c:v>4.6226415094339632</c:v>
                </c:pt>
                <c:pt idx="12">
                  <c:v>5.0928571428571434</c:v>
                </c:pt>
                <c:pt idx="13">
                  <c:v>5.4607142857142854</c:v>
                </c:pt>
                <c:pt idx="14">
                  <c:v>5.8285714285714292</c:v>
                </c:pt>
                <c:pt idx="15">
                  <c:v>6.1964285714285712</c:v>
                </c:pt>
                <c:pt idx="16">
                  <c:v>6.5642857142857132</c:v>
                </c:pt>
                <c:pt idx="17">
                  <c:v>6.9321428571428569</c:v>
                </c:pt>
                <c:pt idx="18">
                  <c:v>7.2999999999999989</c:v>
                </c:pt>
                <c:pt idx="19">
                  <c:v>7.6678571428571445</c:v>
                </c:pt>
                <c:pt idx="20">
                  <c:v>8.0357142857142865</c:v>
                </c:pt>
                <c:pt idx="21">
                  <c:v>8.4035714285714285</c:v>
                </c:pt>
                <c:pt idx="22">
                  <c:v>8.7714285714285722</c:v>
                </c:pt>
                <c:pt idx="23">
                  <c:v>9.1392857142857142</c:v>
                </c:pt>
                <c:pt idx="24">
                  <c:v>9.5071428571428562</c:v>
                </c:pt>
                <c:pt idx="25">
                  <c:v>9.875</c:v>
                </c:pt>
                <c:pt idx="26">
                  <c:v>10.242857142857144</c:v>
                </c:pt>
                <c:pt idx="27">
                  <c:v>10.610714285714288</c:v>
                </c:pt>
                <c:pt idx="28">
                  <c:v>10.97857142857143</c:v>
                </c:pt>
                <c:pt idx="29">
                  <c:v>11.346428571428572</c:v>
                </c:pt>
                <c:pt idx="30">
                  <c:v>11.714285714285715</c:v>
                </c:pt>
                <c:pt idx="31">
                  <c:v>12.082142857142857</c:v>
                </c:pt>
                <c:pt idx="32">
                  <c:v>12.45</c:v>
                </c:pt>
                <c:pt idx="33">
                  <c:v>13.554588869550901</c:v>
                </c:pt>
                <c:pt idx="34">
                  <c:v>14.112550667654334</c:v>
                </c:pt>
                <c:pt idx="35">
                  <c:v>14.670512465757762</c:v>
                </c:pt>
                <c:pt idx="36">
                  <c:v>15.150636007827789</c:v>
                </c:pt>
                <c:pt idx="37">
                  <c:v>15.518493150684931</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6-C892-4AA0-A463-B745A5CFB34F}"/>
            </c:ext>
          </c:extLst>
        </c:ser>
        <c:ser>
          <c:idx val="0"/>
          <c:order val="7"/>
          <c:tx>
            <c:strRef>
              <c:f>'Hki-2012'!$M$22</c:f>
              <c:strCache>
                <c:ptCount val="1"/>
                <c:pt idx="0">
                  <c:v>Ulkoilman lämpötila</c:v>
                </c:pt>
              </c:strCache>
            </c:strRef>
          </c:tx>
          <c:spPr>
            <a:ln>
              <a:solidFill>
                <a:srgbClr val="0070C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'Hki-2012'!$M$24:$M$74</c:f>
              <c:numCache>
                <c:formatCode>0.0</c:formatCode>
                <c:ptCount val="51"/>
                <c:pt idx="0">
                  <c:v>-20.5</c:v>
                </c:pt>
                <c:pt idx="1">
                  <c:v>-20.5</c:v>
                </c:pt>
                <c:pt idx="2">
                  <c:v>-19.5</c:v>
                </c:pt>
                <c:pt idx="3">
                  <c:v>-18.5</c:v>
                </c:pt>
                <c:pt idx="4">
                  <c:v>-17.5</c:v>
                </c:pt>
                <c:pt idx="5">
                  <c:v>-16.5</c:v>
                </c:pt>
                <c:pt idx="6">
                  <c:v>-15.5</c:v>
                </c:pt>
                <c:pt idx="7">
                  <c:v>-14.5</c:v>
                </c:pt>
                <c:pt idx="8">
                  <c:v>-13.5</c:v>
                </c:pt>
                <c:pt idx="9">
                  <c:v>-12.5</c:v>
                </c:pt>
                <c:pt idx="10">
                  <c:v>-11.5</c:v>
                </c:pt>
                <c:pt idx="11">
                  <c:v>-10.5</c:v>
                </c:pt>
                <c:pt idx="12">
                  <c:v>-9.5</c:v>
                </c:pt>
                <c:pt idx="13">
                  <c:v>-8.5</c:v>
                </c:pt>
                <c:pt idx="14">
                  <c:v>-7.5</c:v>
                </c:pt>
                <c:pt idx="15">
                  <c:v>-6.5</c:v>
                </c:pt>
                <c:pt idx="16">
                  <c:v>-5.5</c:v>
                </c:pt>
                <c:pt idx="17">
                  <c:v>-4.5</c:v>
                </c:pt>
                <c:pt idx="18">
                  <c:v>-3.5</c:v>
                </c:pt>
                <c:pt idx="19">
                  <c:v>-2.5</c:v>
                </c:pt>
                <c:pt idx="20">
                  <c:v>-1.5</c:v>
                </c:pt>
                <c:pt idx="21">
                  <c:v>-0.5</c:v>
                </c:pt>
                <c:pt idx="22">
                  <c:v>0.5</c:v>
                </c:pt>
                <c:pt idx="23">
                  <c:v>1.5</c:v>
                </c:pt>
                <c:pt idx="24">
                  <c:v>2.5</c:v>
                </c:pt>
                <c:pt idx="25">
                  <c:v>3.5</c:v>
                </c:pt>
                <c:pt idx="26">
                  <c:v>4.5</c:v>
                </c:pt>
                <c:pt idx="27">
                  <c:v>5.5</c:v>
                </c:pt>
                <c:pt idx="28">
                  <c:v>6.5</c:v>
                </c:pt>
                <c:pt idx="29">
                  <c:v>7.5</c:v>
                </c:pt>
                <c:pt idx="30">
                  <c:v>8.5</c:v>
                </c:pt>
                <c:pt idx="31">
                  <c:v>9.5</c:v>
                </c:pt>
                <c:pt idx="32">
                  <c:v>10.5</c:v>
                </c:pt>
                <c:pt idx="33">
                  <c:v>11.5</c:v>
                </c:pt>
                <c:pt idx="34">
                  <c:v>12.5</c:v>
                </c:pt>
                <c:pt idx="35">
                  <c:v>13.5</c:v>
                </c:pt>
                <c:pt idx="36">
                  <c:v>14.5</c:v>
                </c:pt>
                <c:pt idx="37">
                  <c:v>15.5</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7-C892-4AA0-A463-B745A5CFB34F}"/>
            </c:ext>
          </c:extLst>
        </c:ser>
        <c:ser>
          <c:idx val="5"/>
          <c:order val="8"/>
          <c:tx>
            <c:strRef>
              <c:f>'Hki-2012'!$B$76</c:f>
              <c:strCache>
                <c:ptCount val="1"/>
                <c:pt idx="0">
                  <c:v>Lämmitysraja, ulkolämpötila on 12 °C</c:v>
                </c:pt>
              </c:strCache>
            </c:strRef>
          </c:tx>
          <c:spPr>
            <a:ln w="19050">
              <a:solidFill>
                <a:schemeClr val="tx1"/>
              </a:solidFill>
            </a:ln>
          </c:spPr>
          <c:marker>
            <c:symbol val="none"/>
          </c:marker>
          <c:xVal>
            <c:numRef>
              <c:f>'Hki-2012'!$A$77:$A$78</c:f>
              <c:numCache>
                <c:formatCode>General</c:formatCode>
                <c:ptCount val="2"/>
                <c:pt idx="0">
                  <c:v>72.203196347031962</c:v>
                </c:pt>
                <c:pt idx="1">
                  <c:v>72.203196347031962</c:v>
                </c:pt>
              </c:numCache>
            </c:numRef>
          </c:xVal>
          <c:yVal>
            <c:numRef>
              <c:f>'Hki-2012'!$B$77:$B$78</c:f>
              <c:numCache>
                <c:formatCode>0.00</c:formatCode>
                <c:ptCount val="2"/>
                <c:pt idx="0" formatCode="General">
                  <c:v>-50</c:v>
                </c:pt>
                <c:pt idx="1">
                  <c:v>100</c:v>
                </c:pt>
              </c:numCache>
            </c:numRef>
          </c:yVal>
          <c:smooth val="0"/>
          <c:extLst>
            <c:ext xmlns:c16="http://schemas.microsoft.com/office/drawing/2014/chart" uri="{C3380CC4-5D6E-409C-BE32-E72D297353CC}">
              <c16:uniqueId val="{00000008-C892-4AA0-A463-B745A5CFB34F}"/>
            </c:ext>
          </c:extLst>
        </c:ser>
        <c:dLbls>
          <c:showLegendKey val="0"/>
          <c:showVal val="0"/>
          <c:showCatName val="0"/>
          <c:showSerName val="0"/>
          <c:showPercent val="0"/>
          <c:showBubbleSize val="0"/>
        </c:dLbls>
        <c:axId val="43010688"/>
        <c:axId val="43029248"/>
      </c:scatterChart>
      <c:valAx>
        <c:axId val="43010688"/>
        <c:scaling>
          <c:orientation val="minMax"/>
          <c:max val="100"/>
          <c:min val="0"/>
        </c:scaling>
        <c:delete val="0"/>
        <c:axPos val="b"/>
        <c:title>
          <c:tx>
            <c:rich>
              <a:bodyPr/>
              <a:lstStyle/>
              <a:p>
                <a:pPr>
                  <a:defRPr/>
                </a:pPr>
                <a:r>
                  <a:rPr lang="en-US"/>
                  <a:t>Aika vuodessa, %</a:t>
                </a:r>
              </a:p>
            </c:rich>
          </c:tx>
          <c:overlay val="0"/>
        </c:title>
        <c:numFmt formatCode="General" sourceLinked="1"/>
        <c:majorTickMark val="out"/>
        <c:minorTickMark val="none"/>
        <c:tickLblPos val="nextTo"/>
        <c:txPr>
          <a:bodyPr rot="0" vert="horz"/>
          <a:lstStyle/>
          <a:p>
            <a:pPr>
              <a:defRPr/>
            </a:pPr>
            <a:endParaRPr lang="fi-FI"/>
          </a:p>
        </c:txPr>
        <c:crossAx val="43029248"/>
        <c:crossesAt val="-50"/>
        <c:crossBetween val="midCat"/>
      </c:valAx>
      <c:valAx>
        <c:axId val="43029248"/>
        <c:scaling>
          <c:orientation val="minMax"/>
          <c:min val="-30"/>
        </c:scaling>
        <c:delete val="0"/>
        <c:axPos val="l"/>
        <c:majorGridlines/>
        <c:title>
          <c:tx>
            <c:rich>
              <a:bodyPr rot="-5400000" vert="horz"/>
              <a:lstStyle/>
              <a:p>
                <a:pPr>
                  <a:defRPr/>
                </a:pPr>
                <a:r>
                  <a:rPr lang="en-US"/>
                  <a:t>Lämpötila, °C</a:t>
                </a:r>
              </a:p>
            </c:rich>
          </c:tx>
          <c:layout>
            <c:manualLayout>
              <c:xMode val="edge"/>
              <c:yMode val="edge"/>
              <c:x val="8.9125712734184088E-3"/>
              <c:y val="0.36711726823620733"/>
            </c:manualLayout>
          </c:layout>
          <c:overlay val="0"/>
        </c:title>
        <c:numFmt formatCode="0" sourceLinked="0"/>
        <c:majorTickMark val="out"/>
        <c:minorTickMark val="none"/>
        <c:tickLblPos val="nextTo"/>
        <c:crossAx val="43010688"/>
        <c:crosses val="autoZero"/>
        <c:crossBetween val="midCat"/>
        <c:majorUnit val="10"/>
      </c:valAx>
      <c:spPr>
        <a:ln>
          <a:solidFill>
            <a:schemeClr val="tx1"/>
          </a:solidFill>
        </a:ln>
      </c:spPr>
    </c:plotArea>
    <c:legend>
      <c:legendPos val="r"/>
      <c:legendEntry>
        <c:idx val="8"/>
        <c:delete val="1"/>
      </c:legendEntry>
      <c:layout>
        <c:manualLayout>
          <c:xMode val="edge"/>
          <c:yMode val="edge"/>
          <c:x val="0.30579855014703189"/>
          <c:y val="2.0238357470451895E-2"/>
          <c:w val="0.41318391235578306"/>
          <c:h val="0.25924991369815725"/>
        </c:manualLayout>
      </c:layout>
      <c:overlay val="1"/>
      <c:spPr>
        <a:solidFill>
          <a:sysClr val="window" lastClr="FFFFFF"/>
        </a:solidFill>
      </c:spPr>
    </c:legend>
    <c:plotVisOnly val="1"/>
    <c:dispBlanksAs val="gap"/>
    <c:showDLblsOverMax val="0"/>
  </c:chart>
  <c:spPr>
    <a:ln>
      <a:noFill/>
    </a:ln>
  </c:spPr>
  <c:txPr>
    <a:bodyPr/>
    <a:lstStyle/>
    <a:p>
      <a:pPr>
        <a:defRPr sz="1200">
          <a:latin typeface="Arial" panose="020B0604020202020204" pitchFamily="34" charset="0"/>
          <a:cs typeface="Arial" panose="020B0604020202020204" pitchFamily="34" charset="0"/>
        </a:defRPr>
      </a:pPr>
      <a:endParaRPr lang="fi-FI"/>
    </a:p>
  </c:txPr>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autoTitleDeleted val="0"/>
    <c:plotArea>
      <c:layout>
        <c:manualLayout>
          <c:layoutTarget val="inner"/>
          <c:xMode val="edge"/>
          <c:yMode val="edge"/>
          <c:x val="8.822754914256406E-2"/>
          <c:y val="1.5643439306928738E-2"/>
          <c:w val="0.8901112506454737"/>
          <c:h val="0.87604708244532647"/>
        </c:manualLayout>
      </c:layout>
      <c:scatterChart>
        <c:scatterStyle val="lineMarker"/>
        <c:varyColors val="0"/>
        <c:ser>
          <c:idx val="1"/>
          <c:order val="0"/>
          <c:tx>
            <c:strRef>
              <c:f>'Hki-2012'!$T$22</c:f>
              <c:strCache>
                <c:ptCount val="1"/>
                <c:pt idx="0">
                  <c:v>Tuloilman lämpötila bruttolämmöntarpeen mukaan</c:v>
                </c:pt>
              </c:strCache>
            </c:strRef>
          </c:tx>
          <c:spPr>
            <a:ln>
              <a:solidFill>
                <a:schemeClr val="accent6">
                  <a:lumMod val="75000"/>
                </a:schemeClr>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'Hki-2012'!$T$24:$T$74</c:f>
              <c:numCache>
                <c:formatCode>0</c:formatCode>
                <c:ptCount val="51"/>
                <c:pt idx="0">
                  <c:v>93.400124924614474</c:v>
                </c:pt>
                <c:pt idx="1">
                  <c:v>93.400124924614474</c:v>
                </c:pt>
                <c:pt idx="2">
                  <c:v>91.900124924614474</c:v>
                </c:pt>
                <c:pt idx="3">
                  <c:v>90.400124924614474</c:v>
                </c:pt>
                <c:pt idx="4">
                  <c:v>88.90012492461446</c:v>
                </c:pt>
                <c:pt idx="5">
                  <c:v>87.400124924614474</c:v>
                </c:pt>
                <c:pt idx="6">
                  <c:v>85.900124924614474</c:v>
                </c:pt>
                <c:pt idx="7">
                  <c:v>84.400124924614488</c:v>
                </c:pt>
                <c:pt idx="8">
                  <c:v>82.900124924614474</c:v>
                </c:pt>
                <c:pt idx="9">
                  <c:v>81.400124924614474</c:v>
                </c:pt>
                <c:pt idx="10">
                  <c:v>79.900124924614488</c:v>
                </c:pt>
                <c:pt idx="11">
                  <c:v>78.400124924614474</c:v>
                </c:pt>
                <c:pt idx="12">
                  <c:v>76.900124924614474</c:v>
                </c:pt>
                <c:pt idx="13">
                  <c:v>75.400124924614474</c:v>
                </c:pt>
                <c:pt idx="14">
                  <c:v>73.900124924614474</c:v>
                </c:pt>
                <c:pt idx="15">
                  <c:v>72.400124924614488</c:v>
                </c:pt>
                <c:pt idx="16">
                  <c:v>70.900124924614474</c:v>
                </c:pt>
                <c:pt idx="17">
                  <c:v>69.400124924614474</c:v>
                </c:pt>
                <c:pt idx="18">
                  <c:v>67.90012492461446</c:v>
                </c:pt>
                <c:pt idx="19">
                  <c:v>66.400124924614474</c:v>
                </c:pt>
                <c:pt idx="20">
                  <c:v>64.90012492461446</c:v>
                </c:pt>
                <c:pt idx="21">
                  <c:v>63.400124924614467</c:v>
                </c:pt>
                <c:pt idx="22">
                  <c:v>61.90012492461446</c:v>
                </c:pt>
                <c:pt idx="23">
                  <c:v>60.40012492461446</c:v>
                </c:pt>
                <c:pt idx="24">
                  <c:v>58.90012492461446</c:v>
                </c:pt>
                <c:pt idx="25">
                  <c:v>57.400124924614467</c:v>
                </c:pt>
                <c:pt idx="26">
                  <c:v>55.90012492461446</c:v>
                </c:pt>
                <c:pt idx="27">
                  <c:v>54.400124924614467</c:v>
                </c:pt>
                <c:pt idx="28">
                  <c:v>52.900124924614467</c:v>
                </c:pt>
                <c:pt idx="29">
                  <c:v>51.40012492461446</c:v>
                </c:pt>
                <c:pt idx="30">
                  <c:v>49.900124924614467</c:v>
                </c:pt>
                <c:pt idx="31">
                  <c:v>48.40012492461446</c:v>
                </c:pt>
                <c:pt idx="32">
                  <c:v>46.900124924614467</c:v>
                </c:pt>
                <c:pt idx="33">
                  <c:v>45.400124924614452</c:v>
                </c:pt>
                <c:pt idx="34">
                  <c:v>43.90012492461446</c:v>
                </c:pt>
                <c:pt idx="35">
                  <c:v>42.40012492461446</c:v>
                </c:pt>
                <c:pt idx="36">
                  <c:v>40.90012492461446</c:v>
                </c:pt>
                <c:pt idx="37">
                  <c:v>39.40012492461446</c:v>
                </c:pt>
                <c:pt idx="38">
                  <c:v>37.90012492461446</c:v>
                </c:pt>
                <c:pt idx="39">
                  <c:v>36.40012492461446</c:v>
                </c:pt>
                <c:pt idx="40">
                  <c:v>34.90012492461446</c:v>
                </c:pt>
                <c:pt idx="41">
                  <c:v>33.40012492461446</c:v>
                </c:pt>
                <c:pt idx="42">
                  <c:v>31.90012492461446</c:v>
                </c:pt>
                <c:pt idx="43">
                  <c:v>31.65012492461446</c:v>
                </c:pt>
                <c:pt idx="44">
                  <c:v>32.65012492461446</c:v>
                </c:pt>
                <c:pt idx="45">
                  <c:v>33.65012492461446</c:v>
                </c:pt>
                <c:pt idx="46">
                  <c:v>34.65012492461446</c:v>
                </c:pt>
                <c:pt idx="47">
                  <c:v>35.65012492461446</c:v>
                </c:pt>
                <c:pt idx="48">
                  <c:v>36.65012492461446</c:v>
                </c:pt>
                <c:pt idx="49">
                  <c:v>37.65012492461446</c:v>
                </c:pt>
                <c:pt idx="50">
                  <c:v>38.65012492461446</c:v>
                </c:pt>
              </c:numCache>
            </c:numRef>
          </c:yVal>
          <c:smooth val="0"/>
          <c:extLst>
            <c:ext xmlns:c16="http://schemas.microsoft.com/office/drawing/2014/chart" uri="{C3380CC4-5D6E-409C-BE32-E72D297353CC}">
              <c16:uniqueId val="{00000000-0B35-446F-B983-3A4AAA4C2236}"/>
            </c:ext>
          </c:extLst>
        </c:ser>
        <c:ser>
          <c:idx val="3"/>
          <c:order val="1"/>
          <c:tx>
            <c:strRef>
              <c:f>'Hki-2012'!$U$22</c:f>
              <c:strCache>
                <c:ptCount val="1"/>
                <c:pt idx="0">
                  <c:v>Tuloilman lämpötila nettolämmöntarpeen mukaan</c:v>
                </c:pt>
              </c:strCache>
            </c:strRef>
          </c:tx>
          <c:spPr>
            <a:ln>
              <a:solidFill>
                <a:srgbClr val="C00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'Hki-2012'!$U$24:$U$74</c:f>
              <c:numCache>
                <c:formatCode>0</c:formatCode>
                <c:ptCount val="51"/>
                <c:pt idx="0">
                  <c:v>85.079370207633332</c:v>
                </c:pt>
                <c:pt idx="1">
                  <c:v>85.079370207633332</c:v>
                </c:pt>
                <c:pt idx="2">
                  <c:v>83.500744606518793</c:v>
                </c:pt>
                <c:pt idx="3">
                  <c:v>80.862283794236262</c:v>
                </c:pt>
                <c:pt idx="4">
                  <c:v>77.947386104460861</c:v>
                </c:pt>
                <c:pt idx="5">
                  <c:v>73.429635278149391</c:v>
                </c:pt>
                <c:pt idx="6">
                  <c:v>73.187495375681692</c:v>
                </c:pt>
                <c:pt idx="7">
                  <c:v>75.16225370034816</c:v>
                </c:pt>
                <c:pt idx="8">
                  <c:v>73.094558611380606</c:v>
                </c:pt>
                <c:pt idx="9">
                  <c:v>71.133014427891823</c:v>
                </c:pt>
                <c:pt idx="10">
                  <c:v>70.014900917514254</c:v>
                </c:pt>
                <c:pt idx="11">
                  <c:v>66.993815325876099</c:v>
                </c:pt>
                <c:pt idx="12">
                  <c:v>65.924759721447089</c:v>
                </c:pt>
                <c:pt idx="13">
                  <c:v>65.495127131099537</c:v>
                </c:pt>
                <c:pt idx="14">
                  <c:v>63.015069169105445</c:v>
                </c:pt>
                <c:pt idx="15">
                  <c:v>60.594619542066653</c:v>
                </c:pt>
                <c:pt idx="16">
                  <c:v>59.303240341434361</c:v>
                </c:pt>
                <c:pt idx="17">
                  <c:v>58.402875906187738</c:v>
                </c:pt>
                <c:pt idx="18">
                  <c:v>56.506051514683385</c:v>
                </c:pt>
                <c:pt idx="19">
                  <c:v>55.97852993260576</c:v>
                </c:pt>
                <c:pt idx="20">
                  <c:v>53.429404968699593</c:v>
                </c:pt>
                <c:pt idx="21">
                  <c:v>51.802098758767578</c:v>
                </c:pt>
                <c:pt idx="22">
                  <c:v>50.606358820380315</c:v>
                </c:pt>
                <c:pt idx="23">
                  <c:v>48.601763429993227</c:v>
                </c:pt>
                <c:pt idx="24">
                  <c:v>45.492764954327846</c:v>
                </c:pt>
                <c:pt idx="25">
                  <c:v>43.389601557170828</c:v>
                </c:pt>
                <c:pt idx="26">
                  <c:v>40.596687208882805</c:v>
                </c:pt>
                <c:pt idx="27">
                  <c:v>38.341494695470487</c:v>
                </c:pt>
                <c:pt idx="28">
                  <c:v>39.662429865324611</c:v>
                </c:pt>
                <c:pt idx="29">
                  <c:v>35.469154778791136</c:v>
                </c:pt>
                <c:pt idx="30">
                  <c:v>33.703199823535776</c:v>
                </c:pt>
                <c:pt idx="31">
                  <c:v>29.736742549278119</c:v>
                </c:pt>
                <c:pt idx="32">
                  <c:v>27.176486602519315</c:v>
                </c:pt>
                <c:pt idx="33">
                  <c:v>25.150124924614452</c:v>
                </c:pt>
                <c:pt idx="34">
                  <c:v>25.150124924614452</c:v>
                </c:pt>
                <c:pt idx="35">
                  <c:v>25.150124924614452</c:v>
                </c:pt>
                <c:pt idx="36">
                  <c:v>25.300760932442241</c:v>
                </c:pt>
                <c:pt idx="37">
                  <c:v>25.668618075299392</c:v>
                </c:pt>
                <c:pt idx="38">
                  <c:v>26.65012492461446</c:v>
                </c:pt>
                <c:pt idx="39">
                  <c:v>27.65012492461446</c:v>
                </c:pt>
                <c:pt idx="40">
                  <c:v>28.65012492461446</c:v>
                </c:pt>
                <c:pt idx="41">
                  <c:v>29.65012492461446</c:v>
                </c:pt>
                <c:pt idx="42">
                  <c:v>30.65012492461446</c:v>
                </c:pt>
                <c:pt idx="43">
                  <c:v>31.65012492461446</c:v>
                </c:pt>
                <c:pt idx="44">
                  <c:v>32.65012492461446</c:v>
                </c:pt>
                <c:pt idx="45">
                  <c:v>33.65012492461446</c:v>
                </c:pt>
                <c:pt idx="46">
                  <c:v>34.65012492461446</c:v>
                </c:pt>
                <c:pt idx="47">
                  <c:v>35.65012492461446</c:v>
                </c:pt>
                <c:pt idx="48">
                  <c:v>36.65012492461446</c:v>
                </c:pt>
                <c:pt idx="49">
                  <c:v>37.65012492461446</c:v>
                </c:pt>
                <c:pt idx="50">
                  <c:v>38.65012492461446</c:v>
                </c:pt>
              </c:numCache>
            </c:numRef>
          </c:yVal>
          <c:smooth val="0"/>
          <c:extLst>
            <c:ext xmlns:c16="http://schemas.microsoft.com/office/drawing/2014/chart" uri="{C3380CC4-5D6E-409C-BE32-E72D297353CC}">
              <c16:uniqueId val="{00000001-0B35-446F-B983-3A4AAA4C2236}"/>
            </c:ext>
          </c:extLst>
        </c:ser>
        <c:ser>
          <c:idx val="4"/>
          <c:order val="2"/>
          <c:tx>
            <c:strRef>
              <c:f>'Hki-2012'!$J$22</c:f>
              <c:strCache>
                <c:ptCount val="1"/>
                <c:pt idx="0">
                  <c:v>Poistoilman lämpötila</c:v>
                </c:pt>
              </c:strCache>
            </c:strRef>
          </c:tx>
          <c:spPr>
            <a:ln>
              <a:solidFill>
                <a:schemeClr val="tx1"/>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'Hki-2012'!$J$24:$J$74</c:f>
              <c:numCache>
                <c:formatCode>0.0</c:formatCode>
                <c:ptCount val="51"/>
                <c:pt idx="0">
                  <c:v>21</c:v>
                </c:pt>
                <c:pt idx="1">
                  <c:v>21</c:v>
                </c:pt>
                <c:pt idx="2">
                  <c:v>21</c:v>
                </c:pt>
                <c:pt idx="3">
                  <c:v>21</c:v>
                </c:pt>
                <c:pt idx="4">
                  <c:v>21</c:v>
                </c:pt>
                <c:pt idx="5">
                  <c:v>21</c:v>
                </c:pt>
                <c:pt idx="6">
                  <c:v>21</c:v>
                </c:pt>
                <c:pt idx="7">
                  <c:v>21</c:v>
                </c:pt>
                <c:pt idx="8">
                  <c:v>21</c:v>
                </c:pt>
                <c:pt idx="9">
                  <c:v>21</c:v>
                </c:pt>
                <c:pt idx="10">
                  <c:v>21</c:v>
                </c:pt>
                <c:pt idx="11">
                  <c:v>21</c:v>
                </c:pt>
                <c:pt idx="12">
                  <c:v>21</c:v>
                </c:pt>
                <c:pt idx="13">
                  <c:v>21</c:v>
                </c:pt>
                <c:pt idx="14">
                  <c:v>21</c:v>
                </c:pt>
                <c:pt idx="15">
                  <c:v>21</c:v>
                </c:pt>
                <c:pt idx="16">
                  <c:v>21</c:v>
                </c:pt>
                <c:pt idx="17">
                  <c:v>21</c:v>
                </c:pt>
                <c:pt idx="18">
                  <c:v>21</c:v>
                </c:pt>
                <c:pt idx="19">
                  <c:v>21</c:v>
                </c:pt>
                <c:pt idx="20">
                  <c:v>21</c:v>
                </c:pt>
                <c:pt idx="21">
                  <c:v>21</c:v>
                </c:pt>
                <c:pt idx="22">
                  <c:v>21</c:v>
                </c:pt>
                <c:pt idx="23">
                  <c:v>21</c:v>
                </c:pt>
                <c:pt idx="24">
                  <c:v>21</c:v>
                </c:pt>
                <c:pt idx="25">
                  <c:v>21</c:v>
                </c:pt>
                <c:pt idx="26">
                  <c:v>21</c:v>
                </c:pt>
                <c:pt idx="27">
                  <c:v>21</c:v>
                </c:pt>
                <c:pt idx="28">
                  <c:v>21</c:v>
                </c:pt>
                <c:pt idx="29">
                  <c:v>21</c:v>
                </c:pt>
                <c:pt idx="30">
                  <c:v>21</c:v>
                </c:pt>
                <c:pt idx="31">
                  <c:v>21</c:v>
                </c:pt>
                <c:pt idx="32">
                  <c:v>21</c:v>
                </c:pt>
                <c:pt idx="33">
                  <c:v>21</c:v>
                </c:pt>
                <c:pt idx="34">
                  <c:v>21</c:v>
                </c:pt>
                <c:pt idx="35">
                  <c:v>21</c:v>
                </c:pt>
                <c:pt idx="36">
                  <c:v>21</c:v>
                </c:pt>
                <c:pt idx="37">
                  <c:v>21</c:v>
                </c:pt>
                <c:pt idx="38">
                  <c:v>21</c:v>
                </c:pt>
                <c:pt idx="39">
                  <c:v>21</c:v>
                </c:pt>
                <c:pt idx="40">
                  <c:v>21</c:v>
                </c:pt>
                <c:pt idx="41">
                  <c:v>21</c:v>
                </c:pt>
                <c:pt idx="42">
                  <c:v>21</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2-0B35-446F-B983-3A4AAA4C2236}"/>
            </c:ext>
          </c:extLst>
        </c:ser>
        <c:ser>
          <c:idx val="8"/>
          <c:order val="3"/>
          <c:tx>
            <c:strRef>
              <c:f>'Hki-2012'!$P$22</c:f>
              <c:strCache>
                <c:ptCount val="1"/>
                <c:pt idx="0">
                  <c:v>Tuloilman lämpötila jälkilämmityksen jälkeen</c:v>
                </c:pt>
              </c:strCache>
            </c:strRef>
          </c:tx>
          <c:spPr>
            <a:ln>
              <a:solidFill>
                <a:srgbClr val="FF0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'Hki-2012'!$P$24:$P$74</c:f>
              <c:numCache>
                <c:formatCode>0.0</c:formatCode>
                <c:ptCount val="51"/>
                <c:pt idx="0">
                  <c:v>15</c:v>
                </c:pt>
                <c:pt idx="1">
                  <c:v>15</c:v>
                </c:pt>
                <c:pt idx="2">
                  <c:v>15</c:v>
                </c:pt>
                <c:pt idx="3">
                  <c:v>15</c:v>
                </c:pt>
                <c:pt idx="4">
                  <c:v>15</c:v>
                </c:pt>
                <c:pt idx="5">
                  <c:v>15</c:v>
                </c:pt>
                <c:pt idx="6">
                  <c:v>15</c:v>
                </c:pt>
                <c:pt idx="7">
                  <c:v>15</c:v>
                </c:pt>
                <c:pt idx="8">
                  <c:v>15</c:v>
                </c:pt>
                <c:pt idx="9">
                  <c:v>15</c:v>
                </c:pt>
                <c:pt idx="10">
                  <c:v>15</c:v>
                </c:pt>
                <c:pt idx="11">
                  <c:v>15</c:v>
                </c:pt>
                <c:pt idx="12">
                  <c:v>15</c:v>
                </c:pt>
                <c:pt idx="13">
                  <c:v>15</c:v>
                </c:pt>
                <c:pt idx="14">
                  <c:v>15</c:v>
                </c:pt>
                <c:pt idx="15">
                  <c:v>15</c:v>
                </c:pt>
                <c:pt idx="16">
                  <c:v>15</c:v>
                </c:pt>
                <c:pt idx="17">
                  <c:v>15</c:v>
                </c:pt>
                <c:pt idx="18">
                  <c:v>15</c:v>
                </c:pt>
                <c:pt idx="19">
                  <c:v>15</c:v>
                </c:pt>
                <c:pt idx="20">
                  <c:v>15</c:v>
                </c:pt>
                <c:pt idx="21">
                  <c:v>15</c:v>
                </c:pt>
                <c:pt idx="22">
                  <c:v>15</c:v>
                </c:pt>
                <c:pt idx="23">
                  <c:v>15</c:v>
                </c:pt>
                <c:pt idx="24">
                  <c:v>15</c:v>
                </c:pt>
                <c:pt idx="25">
                  <c:v>15</c:v>
                </c:pt>
                <c:pt idx="26">
                  <c:v>15</c:v>
                </c:pt>
                <c:pt idx="27">
                  <c:v>15</c:v>
                </c:pt>
                <c:pt idx="28">
                  <c:v>15</c:v>
                </c:pt>
                <c:pt idx="29">
                  <c:v>15</c:v>
                </c:pt>
                <c:pt idx="30">
                  <c:v>15</c:v>
                </c:pt>
                <c:pt idx="31">
                  <c:v>15</c:v>
                </c:pt>
                <c:pt idx="32">
                  <c:v>15</c:v>
                </c:pt>
                <c:pt idx="33">
                  <c:v>15</c:v>
                </c:pt>
                <c:pt idx="34">
                  <c:v>15</c:v>
                </c:pt>
                <c:pt idx="35">
                  <c:v>15</c:v>
                </c:pt>
                <c:pt idx="36">
                  <c:v>15.150636007827789</c:v>
                </c:pt>
                <c:pt idx="37">
                  <c:v>15.518493150684931</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3-0B35-446F-B983-3A4AAA4C2236}"/>
            </c:ext>
          </c:extLst>
        </c:ser>
        <c:ser>
          <c:idx val="2"/>
          <c:order val="4"/>
          <c:tx>
            <c:strRef>
              <c:f>'Hki-2012'!$N$22</c:f>
              <c:strCache>
                <c:ptCount val="1"/>
                <c:pt idx="0">
                  <c:v>Tuloilman lämpötila LTO:n jälkeen</c:v>
                </c:pt>
              </c:strCache>
            </c:strRef>
          </c:tx>
          <c:spPr>
            <a:ln>
              <a:solidFill>
                <a:srgbClr val="00FF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'Hki-2012'!$N$24:$N$74</c:f>
              <c:numCache>
                <c:formatCode>0.0</c:formatCode>
                <c:ptCount val="51"/>
                <c:pt idx="0">
                  <c:v>-5.3773584905660368</c:v>
                </c:pt>
                <c:pt idx="1">
                  <c:v>-5.3773584905660368</c:v>
                </c:pt>
                <c:pt idx="2">
                  <c:v>-4.3773584905660368</c:v>
                </c:pt>
                <c:pt idx="3">
                  <c:v>-3.3773584905660368</c:v>
                </c:pt>
                <c:pt idx="4">
                  <c:v>-2.3773584905660368</c:v>
                </c:pt>
                <c:pt idx="5">
                  <c:v>-1.3773584905660368</c:v>
                </c:pt>
                <c:pt idx="6">
                  <c:v>-0.37735849056603676</c:v>
                </c:pt>
                <c:pt idx="7">
                  <c:v>0.62264150943396324</c:v>
                </c:pt>
                <c:pt idx="8">
                  <c:v>1.6226415094339632</c:v>
                </c:pt>
                <c:pt idx="9">
                  <c:v>2.6226415094339632</c:v>
                </c:pt>
                <c:pt idx="10">
                  <c:v>3.6226415094339632</c:v>
                </c:pt>
                <c:pt idx="11">
                  <c:v>4.6226415094339632</c:v>
                </c:pt>
                <c:pt idx="12">
                  <c:v>5.0928571428571434</c:v>
                </c:pt>
                <c:pt idx="13">
                  <c:v>5.4607142857142854</c:v>
                </c:pt>
                <c:pt idx="14">
                  <c:v>5.8285714285714292</c:v>
                </c:pt>
                <c:pt idx="15">
                  <c:v>6.1964285714285712</c:v>
                </c:pt>
                <c:pt idx="16">
                  <c:v>6.5642857142857132</c:v>
                </c:pt>
                <c:pt idx="17">
                  <c:v>6.9321428571428569</c:v>
                </c:pt>
                <c:pt idx="18">
                  <c:v>7.2999999999999989</c:v>
                </c:pt>
                <c:pt idx="19">
                  <c:v>7.6678571428571445</c:v>
                </c:pt>
                <c:pt idx="20">
                  <c:v>8.0357142857142865</c:v>
                </c:pt>
                <c:pt idx="21">
                  <c:v>8.4035714285714285</c:v>
                </c:pt>
                <c:pt idx="22">
                  <c:v>8.7714285714285722</c:v>
                </c:pt>
                <c:pt idx="23">
                  <c:v>9.1392857142857142</c:v>
                </c:pt>
                <c:pt idx="24">
                  <c:v>9.5071428571428562</c:v>
                </c:pt>
                <c:pt idx="25">
                  <c:v>9.875</c:v>
                </c:pt>
                <c:pt idx="26">
                  <c:v>10.242857142857144</c:v>
                </c:pt>
                <c:pt idx="27">
                  <c:v>10.610714285714288</c:v>
                </c:pt>
                <c:pt idx="28">
                  <c:v>10.97857142857143</c:v>
                </c:pt>
                <c:pt idx="29">
                  <c:v>11.346428571428572</c:v>
                </c:pt>
                <c:pt idx="30">
                  <c:v>11.714285714285715</c:v>
                </c:pt>
                <c:pt idx="31">
                  <c:v>12.082142857142857</c:v>
                </c:pt>
                <c:pt idx="32">
                  <c:v>12.45</c:v>
                </c:pt>
                <c:pt idx="33">
                  <c:v>13.554588869550901</c:v>
                </c:pt>
                <c:pt idx="34">
                  <c:v>14.112550667654334</c:v>
                </c:pt>
                <c:pt idx="35">
                  <c:v>14.670512465757762</c:v>
                </c:pt>
                <c:pt idx="36">
                  <c:v>15.150636007827789</c:v>
                </c:pt>
                <c:pt idx="37">
                  <c:v>15.518493150684931</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4-0B35-446F-B983-3A4AAA4C2236}"/>
            </c:ext>
          </c:extLst>
        </c:ser>
        <c:ser>
          <c:idx val="0"/>
          <c:order val="5"/>
          <c:tx>
            <c:strRef>
              <c:f>'Hki-2012'!$M$22</c:f>
              <c:strCache>
                <c:ptCount val="1"/>
                <c:pt idx="0">
                  <c:v>Ulkoilman lämpötila</c:v>
                </c:pt>
              </c:strCache>
            </c:strRef>
          </c:tx>
          <c:spPr>
            <a:ln>
              <a:solidFill>
                <a:srgbClr val="0070C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'Hki-2012'!$M$24:$M$74</c:f>
              <c:numCache>
                <c:formatCode>0.0</c:formatCode>
                <c:ptCount val="51"/>
                <c:pt idx="0">
                  <c:v>-20.5</c:v>
                </c:pt>
                <c:pt idx="1">
                  <c:v>-20.5</c:v>
                </c:pt>
                <c:pt idx="2">
                  <c:v>-19.5</c:v>
                </c:pt>
                <c:pt idx="3">
                  <c:v>-18.5</c:v>
                </c:pt>
                <c:pt idx="4">
                  <c:v>-17.5</c:v>
                </c:pt>
                <c:pt idx="5">
                  <c:v>-16.5</c:v>
                </c:pt>
                <c:pt idx="6">
                  <c:v>-15.5</c:v>
                </c:pt>
                <c:pt idx="7">
                  <c:v>-14.5</c:v>
                </c:pt>
                <c:pt idx="8">
                  <c:v>-13.5</c:v>
                </c:pt>
                <c:pt idx="9">
                  <c:v>-12.5</c:v>
                </c:pt>
                <c:pt idx="10">
                  <c:v>-11.5</c:v>
                </c:pt>
                <c:pt idx="11">
                  <c:v>-10.5</c:v>
                </c:pt>
                <c:pt idx="12">
                  <c:v>-9.5</c:v>
                </c:pt>
                <c:pt idx="13">
                  <c:v>-8.5</c:v>
                </c:pt>
                <c:pt idx="14">
                  <c:v>-7.5</c:v>
                </c:pt>
                <c:pt idx="15">
                  <c:v>-6.5</c:v>
                </c:pt>
                <c:pt idx="16">
                  <c:v>-5.5</c:v>
                </c:pt>
                <c:pt idx="17">
                  <c:v>-4.5</c:v>
                </c:pt>
                <c:pt idx="18">
                  <c:v>-3.5</c:v>
                </c:pt>
                <c:pt idx="19">
                  <c:v>-2.5</c:v>
                </c:pt>
                <c:pt idx="20">
                  <c:v>-1.5</c:v>
                </c:pt>
                <c:pt idx="21">
                  <c:v>-0.5</c:v>
                </c:pt>
                <c:pt idx="22">
                  <c:v>0.5</c:v>
                </c:pt>
                <c:pt idx="23">
                  <c:v>1.5</c:v>
                </c:pt>
                <c:pt idx="24">
                  <c:v>2.5</c:v>
                </c:pt>
                <c:pt idx="25">
                  <c:v>3.5</c:v>
                </c:pt>
                <c:pt idx="26">
                  <c:v>4.5</c:v>
                </c:pt>
                <c:pt idx="27">
                  <c:v>5.5</c:v>
                </c:pt>
                <c:pt idx="28">
                  <c:v>6.5</c:v>
                </c:pt>
                <c:pt idx="29">
                  <c:v>7.5</c:v>
                </c:pt>
                <c:pt idx="30">
                  <c:v>8.5</c:v>
                </c:pt>
                <c:pt idx="31">
                  <c:v>9.5</c:v>
                </c:pt>
                <c:pt idx="32">
                  <c:v>10.5</c:v>
                </c:pt>
                <c:pt idx="33">
                  <c:v>11.5</c:v>
                </c:pt>
                <c:pt idx="34">
                  <c:v>12.5</c:v>
                </c:pt>
                <c:pt idx="35">
                  <c:v>13.5</c:v>
                </c:pt>
                <c:pt idx="36">
                  <c:v>14.5</c:v>
                </c:pt>
                <c:pt idx="37">
                  <c:v>15.5</c:v>
                </c:pt>
                <c:pt idx="38">
                  <c:v>16.5</c:v>
                </c:pt>
                <c:pt idx="39">
                  <c:v>17.5</c:v>
                </c:pt>
                <c:pt idx="40">
                  <c:v>18.5</c:v>
                </c:pt>
                <c:pt idx="41">
                  <c:v>19.5</c:v>
                </c:pt>
                <c:pt idx="42">
                  <c:v>20.5</c:v>
                </c:pt>
                <c:pt idx="43">
                  <c:v>21.5</c:v>
                </c:pt>
                <c:pt idx="44">
                  <c:v>22.5</c:v>
                </c:pt>
                <c:pt idx="45">
                  <c:v>23.5</c:v>
                </c:pt>
                <c:pt idx="46">
                  <c:v>24.5</c:v>
                </c:pt>
                <c:pt idx="47">
                  <c:v>25.5</c:v>
                </c:pt>
                <c:pt idx="48">
                  <c:v>26.5</c:v>
                </c:pt>
                <c:pt idx="49">
                  <c:v>27.5</c:v>
                </c:pt>
                <c:pt idx="50">
                  <c:v>28.5</c:v>
                </c:pt>
              </c:numCache>
            </c:numRef>
          </c:yVal>
          <c:smooth val="0"/>
          <c:extLst>
            <c:ext xmlns:c16="http://schemas.microsoft.com/office/drawing/2014/chart" uri="{C3380CC4-5D6E-409C-BE32-E72D297353CC}">
              <c16:uniqueId val="{00000005-0B35-446F-B983-3A4AAA4C2236}"/>
            </c:ext>
          </c:extLst>
        </c:ser>
        <c:ser>
          <c:idx val="5"/>
          <c:order val="6"/>
          <c:tx>
            <c:strRef>
              <c:f>'Hki-2012'!$B$76</c:f>
              <c:strCache>
                <c:ptCount val="1"/>
                <c:pt idx="0">
                  <c:v>Lämmitysraja, ulkolämpötila on 12 °C</c:v>
                </c:pt>
              </c:strCache>
            </c:strRef>
          </c:tx>
          <c:spPr>
            <a:ln w="19050">
              <a:solidFill>
                <a:schemeClr val="tx1"/>
              </a:solidFill>
            </a:ln>
          </c:spPr>
          <c:marker>
            <c:symbol val="none"/>
          </c:marker>
          <c:xVal>
            <c:numRef>
              <c:f>'Hki-2012'!$A$77:$A$78</c:f>
              <c:numCache>
                <c:formatCode>General</c:formatCode>
                <c:ptCount val="2"/>
                <c:pt idx="0">
                  <c:v>72.203196347031962</c:v>
                </c:pt>
                <c:pt idx="1">
                  <c:v>72.203196347031962</c:v>
                </c:pt>
              </c:numCache>
            </c:numRef>
          </c:xVal>
          <c:yVal>
            <c:numRef>
              <c:f>'Hki-2012'!$B$77:$B$78</c:f>
              <c:numCache>
                <c:formatCode>0.00</c:formatCode>
                <c:ptCount val="2"/>
                <c:pt idx="0" formatCode="General">
                  <c:v>-50</c:v>
                </c:pt>
                <c:pt idx="1">
                  <c:v>100</c:v>
                </c:pt>
              </c:numCache>
            </c:numRef>
          </c:yVal>
          <c:smooth val="0"/>
          <c:extLst>
            <c:ext xmlns:c16="http://schemas.microsoft.com/office/drawing/2014/chart" uri="{C3380CC4-5D6E-409C-BE32-E72D297353CC}">
              <c16:uniqueId val="{00000006-0B35-446F-B983-3A4AAA4C2236}"/>
            </c:ext>
          </c:extLst>
        </c:ser>
        <c:dLbls>
          <c:showLegendKey val="0"/>
          <c:showVal val="0"/>
          <c:showCatName val="0"/>
          <c:showSerName val="0"/>
          <c:showPercent val="0"/>
          <c:showBubbleSize val="0"/>
        </c:dLbls>
        <c:axId val="43115264"/>
        <c:axId val="43117184"/>
      </c:scatterChart>
      <c:valAx>
        <c:axId val="43115264"/>
        <c:scaling>
          <c:orientation val="minMax"/>
          <c:max val="100"/>
          <c:min val="0"/>
        </c:scaling>
        <c:delete val="0"/>
        <c:axPos val="b"/>
        <c:title>
          <c:tx>
            <c:rich>
              <a:bodyPr/>
              <a:lstStyle/>
              <a:p>
                <a:pPr>
                  <a:defRPr/>
                </a:pPr>
                <a:r>
                  <a:rPr lang="en-US"/>
                  <a:t>Aika vuodessa, %</a:t>
                </a:r>
              </a:p>
            </c:rich>
          </c:tx>
          <c:overlay val="0"/>
        </c:title>
        <c:numFmt formatCode="General" sourceLinked="1"/>
        <c:majorTickMark val="out"/>
        <c:minorTickMark val="none"/>
        <c:tickLblPos val="nextTo"/>
        <c:txPr>
          <a:bodyPr rot="0" vert="horz"/>
          <a:lstStyle/>
          <a:p>
            <a:pPr>
              <a:defRPr/>
            </a:pPr>
            <a:endParaRPr lang="fi-FI"/>
          </a:p>
        </c:txPr>
        <c:crossAx val="43117184"/>
        <c:crossesAt val="-50"/>
        <c:crossBetween val="midCat"/>
      </c:valAx>
      <c:valAx>
        <c:axId val="43117184"/>
        <c:scaling>
          <c:orientation val="minMax"/>
          <c:min val="-30"/>
        </c:scaling>
        <c:delete val="0"/>
        <c:axPos val="l"/>
        <c:majorGridlines/>
        <c:title>
          <c:tx>
            <c:rich>
              <a:bodyPr rot="-5400000" vert="horz"/>
              <a:lstStyle/>
              <a:p>
                <a:pPr>
                  <a:defRPr/>
                </a:pPr>
                <a:r>
                  <a:rPr lang="en-US"/>
                  <a:t>Lämpötila, °C</a:t>
                </a:r>
              </a:p>
            </c:rich>
          </c:tx>
          <c:layout>
            <c:manualLayout>
              <c:xMode val="edge"/>
              <c:yMode val="edge"/>
              <c:x val="8.9125712734184088E-3"/>
              <c:y val="0.36711726823620733"/>
            </c:manualLayout>
          </c:layout>
          <c:overlay val="0"/>
        </c:title>
        <c:numFmt formatCode="0" sourceLinked="0"/>
        <c:majorTickMark val="out"/>
        <c:minorTickMark val="none"/>
        <c:tickLblPos val="nextTo"/>
        <c:crossAx val="43115264"/>
        <c:crosses val="autoZero"/>
        <c:crossBetween val="midCat"/>
        <c:majorUnit val="10"/>
      </c:valAx>
      <c:spPr>
        <a:ln>
          <a:solidFill>
            <a:schemeClr val="tx1"/>
          </a:solidFill>
        </a:ln>
      </c:spPr>
    </c:plotArea>
    <c:legend>
      <c:legendPos val="r"/>
      <c:legendEntry>
        <c:idx val="6"/>
        <c:delete val="1"/>
      </c:legendEntry>
      <c:layout>
        <c:manualLayout>
          <c:xMode val="edge"/>
          <c:yMode val="edge"/>
          <c:x val="0.30579855014703189"/>
          <c:y val="2.0238357470451895E-2"/>
          <c:w val="0.41318391235578306"/>
          <c:h val="0.25924991369815725"/>
        </c:manualLayout>
      </c:layout>
      <c:overlay val="1"/>
      <c:spPr>
        <a:solidFill>
          <a:sysClr val="window" lastClr="FFFFFF"/>
        </a:solidFill>
      </c:spPr>
    </c:legend>
    <c:plotVisOnly val="1"/>
    <c:dispBlanksAs val="gap"/>
    <c:showDLblsOverMax val="0"/>
  </c:chart>
  <c:spPr>
    <a:ln>
      <a:noFill/>
    </a:ln>
  </c:spPr>
  <c:txPr>
    <a:bodyPr/>
    <a:lstStyle/>
    <a:p>
      <a:pPr>
        <a:defRPr sz="1200">
          <a:latin typeface="Arial" panose="020B0604020202020204" pitchFamily="34" charset="0"/>
          <a:cs typeface="Arial" panose="020B0604020202020204" pitchFamily="34" charset="0"/>
        </a:defRPr>
      </a:pPr>
      <a:endParaRPr lang="fi-FI"/>
    </a:p>
  </c:txPr>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autoTitleDeleted val="0"/>
    <c:plotArea>
      <c:layout>
        <c:manualLayout>
          <c:layoutTarget val="inner"/>
          <c:xMode val="edge"/>
          <c:yMode val="edge"/>
          <c:x val="8.1385783788285426E-2"/>
          <c:y val="1.564222183825768E-2"/>
          <c:w val="0.8901112506454737"/>
          <c:h val="0.87604708244532647"/>
        </c:manualLayout>
      </c:layout>
      <c:scatterChart>
        <c:scatterStyle val="lineMarker"/>
        <c:varyColors val="0"/>
        <c:ser>
          <c:idx val="7"/>
          <c:order val="0"/>
          <c:tx>
            <c:strRef>
              <c:f>'Hki-2012'!$Y$22</c:f>
              <c:strCache>
                <c:ptCount val="1"/>
                <c:pt idx="0">
                  <c:v>Bruttolämmöntarve, kW</c:v>
                </c:pt>
              </c:strCache>
            </c:strRef>
          </c:tx>
          <c:spPr>
            <a:ln>
              <a:solidFill>
                <a:srgbClr val="FFC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'Hki-2012'!$Y$24:$Y$74</c:f>
              <c:numCache>
                <c:formatCode>General</c:formatCode>
                <c:ptCount val="51"/>
                <c:pt idx="0">
                  <c:v>7.2440479452054793</c:v>
                </c:pt>
                <c:pt idx="1">
                  <c:v>7.2440479452054793</c:v>
                </c:pt>
                <c:pt idx="2">
                  <c:v>7.0850479452054795</c:v>
                </c:pt>
                <c:pt idx="3">
                  <c:v>6.9260479452054797</c:v>
                </c:pt>
                <c:pt idx="4">
                  <c:v>6.767047945205479</c:v>
                </c:pt>
                <c:pt idx="5">
                  <c:v>6.6080479452054801</c:v>
                </c:pt>
                <c:pt idx="6">
                  <c:v>6.4490479452054794</c:v>
                </c:pt>
                <c:pt idx="7">
                  <c:v>6.2900479452054805</c:v>
                </c:pt>
                <c:pt idx="8">
                  <c:v>6.1310479452054798</c:v>
                </c:pt>
                <c:pt idx="9">
                  <c:v>5.97204794520548</c:v>
                </c:pt>
                <c:pt idx="10">
                  <c:v>5.8130479452054802</c:v>
                </c:pt>
                <c:pt idx="11">
                  <c:v>5.6540479452054795</c:v>
                </c:pt>
                <c:pt idx="12">
                  <c:v>5.4950479452054797</c:v>
                </c:pt>
                <c:pt idx="13">
                  <c:v>5.3360479452054799</c:v>
                </c:pt>
                <c:pt idx="14">
                  <c:v>5.1770479452054801</c:v>
                </c:pt>
                <c:pt idx="15">
                  <c:v>5.0180479452054803</c:v>
                </c:pt>
                <c:pt idx="16">
                  <c:v>4.8590479452054796</c:v>
                </c:pt>
                <c:pt idx="17">
                  <c:v>4.7000479452054797</c:v>
                </c:pt>
                <c:pt idx="18">
                  <c:v>4.5410479452054799</c:v>
                </c:pt>
                <c:pt idx="19">
                  <c:v>4.3820479452054801</c:v>
                </c:pt>
                <c:pt idx="20">
                  <c:v>4.2230479452054794</c:v>
                </c:pt>
                <c:pt idx="21">
                  <c:v>4.0640479452054796</c:v>
                </c:pt>
                <c:pt idx="22">
                  <c:v>3.9050479452054794</c:v>
                </c:pt>
                <c:pt idx="23">
                  <c:v>3.7460479452054791</c:v>
                </c:pt>
                <c:pt idx="24">
                  <c:v>3.5870479452054793</c:v>
                </c:pt>
                <c:pt idx="25">
                  <c:v>3.4280479452054795</c:v>
                </c:pt>
                <c:pt idx="26">
                  <c:v>3.2690479452054793</c:v>
                </c:pt>
                <c:pt idx="27">
                  <c:v>3.1100479452054794</c:v>
                </c:pt>
                <c:pt idx="28">
                  <c:v>2.9510479452054796</c:v>
                </c:pt>
                <c:pt idx="29">
                  <c:v>2.7920479452054794</c:v>
                </c:pt>
                <c:pt idx="30">
                  <c:v>2.6330479452054796</c:v>
                </c:pt>
                <c:pt idx="31">
                  <c:v>2.4740479452054793</c:v>
                </c:pt>
                <c:pt idx="32">
                  <c:v>2.3150479452054795</c:v>
                </c:pt>
                <c:pt idx="33">
                  <c:v>2.1560479452054793</c:v>
                </c:pt>
                <c:pt idx="34">
                  <c:v>1.9970479452054795</c:v>
                </c:pt>
                <c:pt idx="35">
                  <c:v>1.8380479452054792</c:v>
                </c:pt>
                <c:pt idx="36">
                  <c:v>1.6790479452054794</c:v>
                </c:pt>
                <c:pt idx="37">
                  <c:v>1.5200479452054796</c:v>
                </c:pt>
                <c:pt idx="38">
                  <c:v>1.3610479452054793</c:v>
                </c:pt>
                <c:pt idx="39">
                  <c:v>1.2020479452054795</c:v>
                </c:pt>
                <c:pt idx="40">
                  <c:v>1.0430479452054793</c:v>
                </c:pt>
                <c:pt idx="41">
                  <c:v>0.88404794520547947</c:v>
                </c:pt>
                <c:pt idx="42">
                  <c:v>0.72504794520547944</c:v>
                </c:pt>
                <c:pt idx="43">
                  <c:v>0.64554794520547942</c:v>
                </c:pt>
                <c:pt idx="44">
                  <c:v>0.64554794520547942</c:v>
                </c:pt>
                <c:pt idx="45">
                  <c:v>0.64554794520547942</c:v>
                </c:pt>
                <c:pt idx="46">
                  <c:v>0.64554794520547942</c:v>
                </c:pt>
                <c:pt idx="47">
                  <c:v>0.64554794520547942</c:v>
                </c:pt>
                <c:pt idx="48">
                  <c:v>0.64554794520547942</c:v>
                </c:pt>
                <c:pt idx="49">
                  <c:v>0.64554794520547942</c:v>
                </c:pt>
                <c:pt idx="50">
                  <c:v>0.64554794520547942</c:v>
                </c:pt>
              </c:numCache>
            </c:numRef>
          </c:yVal>
          <c:smooth val="0"/>
          <c:extLst>
            <c:ext xmlns:c16="http://schemas.microsoft.com/office/drawing/2014/chart" uri="{C3380CC4-5D6E-409C-BE32-E72D297353CC}">
              <c16:uniqueId val="{00000000-87B3-4C86-AEA1-BCFB3D42C8D3}"/>
            </c:ext>
          </c:extLst>
        </c:ser>
        <c:ser>
          <c:idx val="1"/>
          <c:order val="1"/>
          <c:tx>
            <c:strRef>
              <c:f>'Hki-2012'!$X$22</c:f>
              <c:strCache>
                <c:ptCount val="1"/>
                <c:pt idx="0">
                  <c:v>Nettolämmöntarve (hyödynnetyt lämpökuormat vähennetty), kW</c:v>
                </c:pt>
              </c:strCache>
            </c:strRef>
          </c:tx>
          <c:spPr>
            <a:ln>
              <a:solidFill>
                <a:srgbClr val="C00000"/>
              </a:solidFill>
            </a:ln>
          </c:spPr>
          <c:marker>
            <c:symbol val="circle"/>
            <c:size val="5"/>
            <c:spPr>
              <a:noFill/>
            </c:spPr>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'Hki-2012'!$X$24:$X$74</c:f>
              <c:numCache>
                <c:formatCode>General</c:formatCode>
                <c:ptCount val="51"/>
                <c:pt idx="0">
                  <c:v>6.714847945205479</c:v>
                </c:pt>
                <c:pt idx="1">
                  <c:v>6.714847945205479</c:v>
                </c:pt>
                <c:pt idx="2">
                  <c:v>6.5508473569745949</c:v>
                </c:pt>
                <c:pt idx="3">
                  <c:v>6.3194412493134262</c:v>
                </c:pt>
                <c:pt idx="4">
                  <c:v>6.07045375624371</c:v>
                </c:pt>
                <c:pt idx="5">
                  <c:v>5.7195248036902999</c:v>
                </c:pt>
                <c:pt idx="6">
                  <c:v>5.6405247058933554</c:v>
                </c:pt>
                <c:pt idx="7">
                  <c:v>5.7025193353421431</c:v>
                </c:pt>
                <c:pt idx="8">
                  <c:v>5.5074139276838059</c:v>
                </c:pt>
                <c:pt idx="9">
                  <c:v>5.3190597176139187</c:v>
                </c:pt>
                <c:pt idx="10">
                  <c:v>5.1843476983539061</c:v>
                </c:pt>
                <c:pt idx="11">
                  <c:v>4.9286066547257192</c:v>
                </c:pt>
                <c:pt idx="12">
                  <c:v>4.7970147182840348</c:v>
                </c:pt>
                <c:pt idx="13">
                  <c:v>4.7060900855379302</c:v>
                </c:pt>
                <c:pt idx="14">
                  <c:v>4.4847583991551057</c:v>
                </c:pt>
                <c:pt idx="15">
                  <c:v>4.2672178028754386</c:v>
                </c:pt>
                <c:pt idx="16">
                  <c:v>4.1214860857152251</c:v>
                </c:pt>
                <c:pt idx="17">
                  <c:v>4.0006229076335398</c:v>
                </c:pt>
                <c:pt idx="18">
                  <c:v>3.816384876333863</c:v>
                </c:pt>
                <c:pt idx="19">
                  <c:v>3.719234503713726</c:v>
                </c:pt>
                <c:pt idx="20">
                  <c:v>3.493510156009294</c:v>
                </c:pt>
                <c:pt idx="21">
                  <c:v>3.3264134810576174</c:v>
                </c:pt>
                <c:pt idx="22">
                  <c:v>3.1867644209761878</c:v>
                </c:pt>
                <c:pt idx="23">
                  <c:v>2.9956721541475688</c:v>
                </c:pt>
                <c:pt idx="24">
                  <c:v>2.7343398510952506</c:v>
                </c:pt>
                <c:pt idx="25">
                  <c:v>2.5369786590360643</c:v>
                </c:pt>
                <c:pt idx="26">
                  <c:v>2.2957493064849466</c:v>
                </c:pt>
                <c:pt idx="27">
                  <c:v>2.088719062631923</c:v>
                </c:pt>
                <c:pt idx="28">
                  <c:v>2.1091305394346449</c:v>
                </c:pt>
                <c:pt idx="29">
                  <c:v>1.7788382439311161</c:v>
                </c:pt>
                <c:pt idx="30">
                  <c:v>1.6029235087768752</c:v>
                </c:pt>
                <c:pt idx="31">
                  <c:v>1.2870568261340882</c:v>
                </c:pt>
                <c:pt idx="32">
                  <c:v>1.0606245479202285</c:v>
                </c:pt>
                <c:pt idx="33">
                  <c:v>0.86814794520547922</c:v>
                </c:pt>
                <c:pt idx="34">
                  <c:v>0.80454794520547912</c:v>
                </c:pt>
                <c:pt idx="35">
                  <c:v>0.74094794520547924</c:v>
                </c:pt>
                <c:pt idx="36">
                  <c:v>0.6869283953033265</c:v>
                </c:pt>
                <c:pt idx="37">
                  <c:v>0.64672410958904136</c:v>
                </c:pt>
                <c:pt idx="38">
                  <c:v>0.64554794520547942</c:v>
                </c:pt>
                <c:pt idx="39">
                  <c:v>0.64554794520547953</c:v>
                </c:pt>
                <c:pt idx="40">
                  <c:v>0.64554794520547942</c:v>
                </c:pt>
                <c:pt idx="41">
                  <c:v>0.64554794520547953</c:v>
                </c:pt>
                <c:pt idx="42">
                  <c:v>0.64554794520547942</c:v>
                </c:pt>
                <c:pt idx="43">
                  <c:v>0.64554794520547942</c:v>
                </c:pt>
                <c:pt idx="44">
                  <c:v>0.64554794520547942</c:v>
                </c:pt>
                <c:pt idx="45">
                  <c:v>0.64554794520547942</c:v>
                </c:pt>
                <c:pt idx="46">
                  <c:v>0.64554794520547942</c:v>
                </c:pt>
                <c:pt idx="47">
                  <c:v>0.64554794520547942</c:v>
                </c:pt>
                <c:pt idx="48">
                  <c:v>0.64554794520547942</c:v>
                </c:pt>
                <c:pt idx="49">
                  <c:v>0.64554794520547942</c:v>
                </c:pt>
                <c:pt idx="50">
                  <c:v>0.64554794520547942</c:v>
                </c:pt>
              </c:numCache>
            </c:numRef>
          </c:yVal>
          <c:smooth val="0"/>
          <c:extLst>
            <c:ext xmlns:c16="http://schemas.microsoft.com/office/drawing/2014/chart" uri="{C3380CC4-5D6E-409C-BE32-E72D297353CC}">
              <c16:uniqueId val="{00000001-87B3-4C86-AEA1-BCFB3D42C8D3}"/>
            </c:ext>
          </c:extLst>
        </c:ser>
        <c:ser>
          <c:idx val="3"/>
          <c:order val="2"/>
          <c:tx>
            <c:strRef>
              <c:f>'Hki-2012'!$AH$22</c:f>
              <c:strCache>
                <c:ptCount val="1"/>
                <c:pt idx="0">
                  <c:v>PILP:n lauhduttimen ja LTO:n teho, kW</c:v>
                </c:pt>
              </c:strCache>
            </c:strRef>
          </c:tx>
          <c:spPr>
            <a:ln>
              <a:solidFill>
                <a:srgbClr val="00FF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'Hki-2012'!$AH$24:$AH$74</c:f>
              <c:numCache>
                <c:formatCode>General</c:formatCode>
                <c:ptCount val="51"/>
                <c:pt idx="0">
                  <c:v>1.8368</c:v>
                </c:pt>
                <c:pt idx="1">
                  <c:v>1.8368</c:v>
                </c:pt>
                <c:pt idx="2">
                  <c:v>1.8368</c:v>
                </c:pt>
                <c:pt idx="3">
                  <c:v>1.8368</c:v>
                </c:pt>
                <c:pt idx="4">
                  <c:v>1.8368</c:v>
                </c:pt>
                <c:pt idx="5">
                  <c:v>1.8368</c:v>
                </c:pt>
                <c:pt idx="6">
                  <c:v>1.8368</c:v>
                </c:pt>
                <c:pt idx="7">
                  <c:v>1.8368</c:v>
                </c:pt>
                <c:pt idx="8">
                  <c:v>1.8368</c:v>
                </c:pt>
                <c:pt idx="9">
                  <c:v>1.8368</c:v>
                </c:pt>
                <c:pt idx="10">
                  <c:v>1.8368</c:v>
                </c:pt>
                <c:pt idx="11">
                  <c:v>1.8368</c:v>
                </c:pt>
                <c:pt idx="12">
                  <c:v>1.8031057142857143</c:v>
                </c:pt>
                <c:pt idx="13">
                  <c:v>1.7629014285714286</c:v>
                </c:pt>
                <c:pt idx="14">
                  <c:v>1.7226971428571427</c:v>
                </c:pt>
                <c:pt idx="15">
                  <c:v>1.682492857142857</c:v>
                </c:pt>
                <c:pt idx="16">
                  <c:v>1.6422885714285713</c:v>
                </c:pt>
                <c:pt idx="17">
                  <c:v>1.6020842857142856</c:v>
                </c:pt>
                <c:pt idx="18">
                  <c:v>1.5618799999999999</c:v>
                </c:pt>
                <c:pt idx="19">
                  <c:v>1.5216757142857142</c:v>
                </c:pt>
                <c:pt idx="20">
                  <c:v>1.4814714285714286</c:v>
                </c:pt>
                <c:pt idx="21">
                  <c:v>1.4412671428571429</c:v>
                </c:pt>
                <c:pt idx="22">
                  <c:v>1.4010628571428572</c:v>
                </c:pt>
                <c:pt idx="23">
                  <c:v>1.3608585714285715</c:v>
                </c:pt>
                <c:pt idx="24">
                  <c:v>1.3206542857142858</c:v>
                </c:pt>
                <c:pt idx="25">
                  <c:v>1.2804500000000001</c:v>
                </c:pt>
                <c:pt idx="26">
                  <c:v>1.2402457142857144</c:v>
                </c:pt>
                <c:pt idx="27">
                  <c:v>1.2000414285714287</c:v>
                </c:pt>
                <c:pt idx="28">
                  <c:v>1.159837142857143</c:v>
                </c:pt>
                <c:pt idx="29">
                  <c:v>1.1196328571428571</c:v>
                </c:pt>
                <c:pt idx="30">
                  <c:v>1.0794285714285714</c:v>
                </c:pt>
                <c:pt idx="31">
                  <c:v>1.0392242857142857</c:v>
                </c:pt>
                <c:pt idx="32">
                  <c:v>0.99902000000000002</c:v>
                </c:pt>
                <c:pt idx="33">
                  <c:v>0.86814794520547955</c:v>
                </c:pt>
                <c:pt idx="34">
                  <c:v>0.80454794520547923</c:v>
                </c:pt>
                <c:pt idx="35">
                  <c:v>0.74094794520547946</c:v>
                </c:pt>
                <c:pt idx="36">
                  <c:v>0.6869283953033265</c:v>
                </c:pt>
                <c:pt idx="37">
                  <c:v>0.64672410958904114</c:v>
                </c:pt>
                <c:pt idx="38">
                  <c:v>0.53100000000000003</c:v>
                </c:pt>
                <c:pt idx="39">
                  <c:v>0.41299999999999998</c:v>
                </c:pt>
                <c:pt idx="40">
                  <c:v>0.29499999999999998</c:v>
                </c:pt>
                <c:pt idx="41">
                  <c:v>0.17699999999999999</c:v>
                </c:pt>
                <c:pt idx="42">
                  <c:v>5.899999999999999E-2</c:v>
                </c:pt>
                <c:pt idx="43">
                  <c:v>0</c:v>
                </c:pt>
                <c:pt idx="44">
                  <c:v>0</c:v>
                </c:pt>
                <c:pt idx="45">
                  <c:v>0</c:v>
                </c:pt>
                <c:pt idx="46">
                  <c:v>0</c:v>
                </c:pt>
                <c:pt idx="47">
                  <c:v>0</c:v>
                </c:pt>
                <c:pt idx="48">
                  <c:v>0</c:v>
                </c:pt>
                <c:pt idx="49">
                  <c:v>0</c:v>
                </c:pt>
                <c:pt idx="50">
                  <c:v>0</c:v>
                </c:pt>
              </c:numCache>
            </c:numRef>
          </c:yVal>
          <c:smooth val="0"/>
          <c:extLst>
            <c:ext xmlns:c16="http://schemas.microsoft.com/office/drawing/2014/chart" uri="{C3380CC4-5D6E-409C-BE32-E72D297353CC}">
              <c16:uniqueId val="{00000002-87B3-4C86-AEA1-BCFB3D42C8D3}"/>
            </c:ext>
          </c:extLst>
        </c:ser>
        <c:ser>
          <c:idx val="4"/>
          <c:order val="3"/>
          <c:tx>
            <c:strRef>
              <c:f>'Hki-2012'!$V$22</c:f>
              <c:strCache>
                <c:ptCount val="1"/>
                <c:pt idx="0">
                  <c:v>Tuloilman jälkilämmitysteho, kW</c:v>
                </c:pt>
              </c:strCache>
            </c:strRef>
          </c:tx>
          <c:spPr>
            <a:ln>
              <a:solidFill>
                <a:srgbClr val="FF0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'Hki-2012'!$V$24:$V$74</c:f>
              <c:numCache>
                <c:formatCode>General</c:formatCode>
                <c:ptCount val="51"/>
                <c:pt idx="0">
                  <c:v>1.296</c:v>
                </c:pt>
                <c:pt idx="1">
                  <c:v>1.296</c:v>
                </c:pt>
                <c:pt idx="2">
                  <c:v>1.2323999999999999</c:v>
                </c:pt>
                <c:pt idx="3">
                  <c:v>1.1688000000000001</c:v>
                </c:pt>
                <c:pt idx="4">
                  <c:v>1.1052</c:v>
                </c:pt>
                <c:pt idx="5">
                  <c:v>1.0415999999999999</c:v>
                </c:pt>
                <c:pt idx="6">
                  <c:v>0.97799999999999987</c:v>
                </c:pt>
                <c:pt idx="7">
                  <c:v>0.91439999999999988</c:v>
                </c:pt>
                <c:pt idx="8">
                  <c:v>0.85079999999999989</c:v>
                </c:pt>
                <c:pt idx="9">
                  <c:v>0.78719999999999979</c:v>
                </c:pt>
                <c:pt idx="10">
                  <c:v>0.72359999999999991</c:v>
                </c:pt>
                <c:pt idx="11">
                  <c:v>0.65999999999999992</c:v>
                </c:pt>
                <c:pt idx="12">
                  <c:v>0.63009428571428561</c:v>
                </c:pt>
                <c:pt idx="13">
                  <c:v>0.60669857142857142</c:v>
                </c:pt>
                <c:pt idx="14">
                  <c:v>0.58330285714285712</c:v>
                </c:pt>
                <c:pt idx="15">
                  <c:v>0.55990714285714283</c:v>
                </c:pt>
                <c:pt idx="16">
                  <c:v>0.53651142857142864</c:v>
                </c:pt>
                <c:pt idx="17">
                  <c:v>0.51311571428571423</c:v>
                </c:pt>
                <c:pt idx="18">
                  <c:v>0.48972000000000004</c:v>
                </c:pt>
                <c:pt idx="19">
                  <c:v>0.46632428571428558</c:v>
                </c:pt>
                <c:pt idx="20">
                  <c:v>0.44292857142857134</c:v>
                </c:pt>
                <c:pt idx="21">
                  <c:v>0.4195328571428571</c:v>
                </c:pt>
                <c:pt idx="22">
                  <c:v>0.39613714285714274</c:v>
                </c:pt>
                <c:pt idx="23">
                  <c:v>0.3727414285714285</c:v>
                </c:pt>
                <c:pt idx="24">
                  <c:v>0.34934571428571431</c:v>
                </c:pt>
                <c:pt idx="25">
                  <c:v>0.32594999999999996</c:v>
                </c:pt>
                <c:pt idx="26">
                  <c:v>0.30255428571428566</c:v>
                </c:pt>
                <c:pt idx="27">
                  <c:v>0.27915857142857131</c:v>
                </c:pt>
                <c:pt idx="28">
                  <c:v>0.25576285714285707</c:v>
                </c:pt>
                <c:pt idx="29">
                  <c:v>0.23236714285714283</c:v>
                </c:pt>
                <c:pt idx="30">
                  <c:v>0.20897142857142847</c:v>
                </c:pt>
                <c:pt idx="31">
                  <c:v>0.18557571428571426</c:v>
                </c:pt>
                <c:pt idx="32">
                  <c:v>0.16218000000000005</c:v>
                </c:pt>
                <c:pt idx="33">
                  <c:v>9.1928147896562659E-2</c:v>
                </c:pt>
                <c:pt idx="34">
                  <c:v>5.6441777537184344E-2</c:v>
                </c:pt>
                <c:pt idx="35">
                  <c:v>2.0955407177806355E-2</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numCache>
            </c:numRef>
          </c:yVal>
          <c:smooth val="0"/>
          <c:extLst>
            <c:ext xmlns:c16="http://schemas.microsoft.com/office/drawing/2014/chart" uri="{C3380CC4-5D6E-409C-BE32-E72D297353CC}">
              <c16:uniqueId val="{00000003-87B3-4C86-AEA1-BCFB3D42C8D3}"/>
            </c:ext>
          </c:extLst>
        </c:ser>
        <c:ser>
          <c:idx val="2"/>
          <c:order val="4"/>
          <c:tx>
            <c:strRef>
              <c:f>'Hki-2012'!$AF$22</c:f>
              <c:strCache>
                <c:ptCount val="1"/>
                <c:pt idx="0">
                  <c:v>PILP:n lauhduttimen teho, kW</c:v>
                </c:pt>
              </c:strCache>
            </c:strRef>
          </c:tx>
          <c:spPr>
            <a:ln>
              <a:solidFill>
                <a:srgbClr val="008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'Hki-2012'!$AF$24:$AF$74</c:f>
              <c:numCache>
                <c:formatCode>General</c:formatCode>
                <c:ptCount val="51"/>
                <c:pt idx="0">
                  <c:v>0.875</c:v>
                </c:pt>
                <c:pt idx="1">
                  <c:v>0.875</c:v>
                </c:pt>
                <c:pt idx="2">
                  <c:v>0.875</c:v>
                </c:pt>
                <c:pt idx="3">
                  <c:v>0.875</c:v>
                </c:pt>
                <c:pt idx="4">
                  <c:v>0.875</c:v>
                </c:pt>
                <c:pt idx="5">
                  <c:v>0.875</c:v>
                </c:pt>
                <c:pt idx="6">
                  <c:v>0.875</c:v>
                </c:pt>
                <c:pt idx="7">
                  <c:v>0.875</c:v>
                </c:pt>
                <c:pt idx="8">
                  <c:v>0.875</c:v>
                </c:pt>
                <c:pt idx="9">
                  <c:v>0.875</c:v>
                </c:pt>
                <c:pt idx="10">
                  <c:v>0.875</c:v>
                </c:pt>
                <c:pt idx="11">
                  <c:v>0.875</c:v>
                </c:pt>
                <c:pt idx="12">
                  <c:v>0.875</c:v>
                </c:pt>
                <c:pt idx="13">
                  <c:v>0.875</c:v>
                </c:pt>
                <c:pt idx="14">
                  <c:v>0.875</c:v>
                </c:pt>
                <c:pt idx="15">
                  <c:v>0.875</c:v>
                </c:pt>
                <c:pt idx="16">
                  <c:v>0.875</c:v>
                </c:pt>
                <c:pt idx="17">
                  <c:v>0.875</c:v>
                </c:pt>
                <c:pt idx="18">
                  <c:v>0.875</c:v>
                </c:pt>
                <c:pt idx="19">
                  <c:v>0.875</c:v>
                </c:pt>
                <c:pt idx="20">
                  <c:v>0.875</c:v>
                </c:pt>
                <c:pt idx="21">
                  <c:v>0.875</c:v>
                </c:pt>
                <c:pt idx="22">
                  <c:v>0.875</c:v>
                </c:pt>
                <c:pt idx="23">
                  <c:v>0.875</c:v>
                </c:pt>
                <c:pt idx="24">
                  <c:v>0.875</c:v>
                </c:pt>
                <c:pt idx="25">
                  <c:v>0.875</c:v>
                </c:pt>
                <c:pt idx="26">
                  <c:v>0.875</c:v>
                </c:pt>
                <c:pt idx="27">
                  <c:v>0.875</c:v>
                </c:pt>
                <c:pt idx="28">
                  <c:v>0.875</c:v>
                </c:pt>
                <c:pt idx="29">
                  <c:v>0.875</c:v>
                </c:pt>
                <c:pt idx="30">
                  <c:v>0.875</c:v>
                </c:pt>
                <c:pt idx="31">
                  <c:v>0.875</c:v>
                </c:pt>
                <c:pt idx="32">
                  <c:v>0.875</c:v>
                </c:pt>
                <c:pt idx="33">
                  <c:v>0.73747609310204221</c:v>
                </c:pt>
                <c:pt idx="34">
                  <c:v>0.70198972274266358</c:v>
                </c:pt>
                <c:pt idx="35">
                  <c:v>0.66650335238328584</c:v>
                </c:pt>
                <c:pt idx="36">
                  <c:v>0.6455479452054792</c:v>
                </c:pt>
                <c:pt idx="37">
                  <c:v>0.64554794520547953</c:v>
                </c:pt>
                <c:pt idx="38">
                  <c:v>0.53100000000000003</c:v>
                </c:pt>
                <c:pt idx="39">
                  <c:v>0.41299999999999998</c:v>
                </c:pt>
                <c:pt idx="40">
                  <c:v>0.29499999999999998</c:v>
                </c:pt>
                <c:pt idx="41">
                  <c:v>0.17699999999999999</c:v>
                </c:pt>
                <c:pt idx="42">
                  <c:v>5.899999999999999E-2</c:v>
                </c:pt>
                <c:pt idx="43">
                  <c:v>0</c:v>
                </c:pt>
                <c:pt idx="44">
                  <c:v>0</c:v>
                </c:pt>
                <c:pt idx="45">
                  <c:v>0</c:v>
                </c:pt>
                <c:pt idx="46">
                  <c:v>0</c:v>
                </c:pt>
                <c:pt idx="47">
                  <c:v>0</c:v>
                </c:pt>
                <c:pt idx="48">
                  <c:v>0</c:v>
                </c:pt>
                <c:pt idx="49">
                  <c:v>0</c:v>
                </c:pt>
                <c:pt idx="50">
                  <c:v>0</c:v>
                </c:pt>
              </c:numCache>
            </c:numRef>
          </c:yVal>
          <c:smooth val="0"/>
          <c:extLst>
            <c:ext xmlns:c16="http://schemas.microsoft.com/office/drawing/2014/chart" uri="{C3380CC4-5D6E-409C-BE32-E72D297353CC}">
              <c16:uniqueId val="{00000004-87B3-4C86-AEA1-BCFB3D42C8D3}"/>
            </c:ext>
          </c:extLst>
        </c:ser>
        <c:ser>
          <c:idx val="0"/>
          <c:order val="5"/>
          <c:tx>
            <c:strRef>
              <c:f>'Hki-2012'!$AD$22</c:f>
              <c:strCache>
                <c:ptCount val="1"/>
                <c:pt idx="0">
                  <c:v>PILP:n kompressorin sähköteho, kW</c:v>
                </c:pt>
              </c:strCache>
            </c:strRef>
          </c:tx>
          <c:spPr>
            <a:ln>
              <a:solidFill>
                <a:srgbClr val="7030A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'Hki-2012'!$AD$24:$AD$74</c:f>
              <c:numCache>
                <c:formatCode>General</c:formatCode>
                <c:ptCount val="51"/>
                <c:pt idx="0">
                  <c:v>0.35</c:v>
                </c:pt>
                <c:pt idx="1">
                  <c:v>0.35</c:v>
                </c:pt>
                <c:pt idx="2">
                  <c:v>0.35</c:v>
                </c:pt>
                <c:pt idx="3">
                  <c:v>0.35</c:v>
                </c:pt>
                <c:pt idx="4">
                  <c:v>0.35</c:v>
                </c:pt>
                <c:pt idx="5">
                  <c:v>0.35</c:v>
                </c:pt>
                <c:pt idx="6">
                  <c:v>0.35</c:v>
                </c:pt>
                <c:pt idx="7">
                  <c:v>0.35</c:v>
                </c:pt>
                <c:pt idx="8">
                  <c:v>0.35</c:v>
                </c:pt>
                <c:pt idx="9">
                  <c:v>0.35</c:v>
                </c:pt>
                <c:pt idx="10">
                  <c:v>0.35</c:v>
                </c:pt>
                <c:pt idx="11">
                  <c:v>0.35</c:v>
                </c:pt>
                <c:pt idx="12">
                  <c:v>0.35</c:v>
                </c:pt>
                <c:pt idx="13">
                  <c:v>0.35</c:v>
                </c:pt>
                <c:pt idx="14">
                  <c:v>0.35</c:v>
                </c:pt>
                <c:pt idx="15">
                  <c:v>0.35</c:v>
                </c:pt>
                <c:pt idx="16">
                  <c:v>0.35</c:v>
                </c:pt>
                <c:pt idx="17">
                  <c:v>0.35</c:v>
                </c:pt>
                <c:pt idx="18">
                  <c:v>0.35</c:v>
                </c:pt>
                <c:pt idx="19">
                  <c:v>0.35</c:v>
                </c:pt>
                <c:pt idx="20">
                  <c:v>0.35</c:v>
                </c:pt>
                <c:pt idx="21">
                  <c:v>0.35</c:v>
                </c:pt>
                <c:pt idx="22">
                  <c:v>0.35</c:v>
                </c:pt>
                <c:pt idx="23">
                  <c:v>0.35</c:v>
                </c:pt>
                <c:pt idx="24">
                  <c:v>0.35</c:v>
                </c:pt>
                <c:pt idx="25">
                  <c:v>0.35</c:v>
                </c:pt>
                <c:pt idx="26">
                  <c:v>0.35</c:v>
                </c:pt>
                <c:pt idx="27">
                  <c:v>0.35</c:v>
                </c:pt>
                <c:pt idx="28">
                  <c:v>0.35</c:v>
                </c:pt>
                <c:pt idx="29">
                  <c:v>0.35</c:v>
                </c:pt>
                <c:pt idx="30">
                  <c:v>0.35</c:v>
                </c:pt>
                <c:pt idx="31">
                  <c:v>0.35</c:v>
                </c:pt>
                <c:pt idx="32">
                  <c:v>0.35</c:v>
                </c:pt>
                <c:pt idx="33">
                  <c:v>0.29499043724081692</c:v>
                </c:pt>
                <c:pt idx="34">
                  <c:v>0.28079588909706549</c:v>
                </c:pt>
                <c:pt idx="35">
                  <c:v>0.26660134095331434</c:v>
                </c:pt>
                <c:pt idx="36">
                  <c:v>0.25821917808219164</c:v>
                </c:pt>
                <c:pt idx="37">
                  <c:v>0.25821917808219186</c:v>
                </c:pt>
                <c:pt idx="38">
                  <c:v>0.21239999999999998</c:v>
                </c:pt>
                <c:pt idx="39">
                  <c:v>0.16519999999999999</c:v>
                </c:pt>
                <c:pt idx="40">
                  <c:v>0.11799999999999999</c:v>
                </c:pt>
                <c:pt idx="41">
                  <c:v>7.0800000000000002E-2</c:v>
                </c:pt>
                <c:pt idx="42">
                  <c:v>2.3599999999999999E-2</c:v>
                </c:pt>
                <c:pt idx="43">
                  <c:v>0</c:v>
                </c:pt>
                <c:pt idx="44">
                  <c:v>0</c:v>
                </c:pt>
                <c:pt idx="45">
                  <c:v>0</c:v>
                </c:pt>
                <c:pt idx="46">
                  <c:v>0</c:v>
                </c:pt>
                <c:pt idx="47">
                  <c:v>0</c:v>
                </c:pt>
                <c:pt idx="48">
                  <c:v>0</c:v>
                </c:pt>
                <c:pt idx="49">
                  <c:v>0</c:v>
                </c:pt>
                <c:pt idx="50">
                  <c:v>0</c:v>
                </c:pt>
              </c:numCache>
            </c:numRef>
          </c:yVal>
          <c:smooth val="0"/>
          <c:extLst>
            <c:ext xmlns:c16="http://schemas.microsoft.com/office/drawing/2014/chart" uri="{C3380CC4-5D6E-409C-BE32-E72D297353CC}">
              <c16:uniqueId val="{00000005-87B3-4C86-AEA1-BCFB3D42C8D3}"/>
            </c:ext>
          </c:extLst>
        </c:ser>
        <c:ser>
          <c:idx val="5"/>
          <c:order val="6"/>
          <c:tx>
            <c:strRef>
              <c:f>'Hki-2012'!$B$76</c:f>
              <c:strCache>
                <c:ptCount val="1"/>
                <c:pt idx="0">
                  <c:v>Lämmitysraja, ulkolämpötila on 12 °C</c:v>
                </c:pt>
              </c:strCache>
            </c:strRef>
          </c:tx>
          <c:spPr>
            <a:ln w="19050">
              <a:solidFill>
                <a:schemeClr val="tx1"/>
              </a:solidFill>
            </a:ln>
          </c:spPr>
          <c:marker>
            <c:symbol val="none"/>
          </c:marker>
          <c:xVal>
            <c:numRef>
              <c:f>'Hki-2012'!$A$77:$A$78</c:f>
              <c:numCache>
                <c:formatCode>General</c:formatCode>
                <c:ptCount val="2"/>
                <c:pt idx="0">
                  <c:v>72.203196347031962</c:v>
                </c:pt>
                <c:pt idx="1">
                  <c:v>72.203196347031962</c:v>
                </c:pt>
              </c:numCache>
            </c:numRef>
          </c:xVal>
          <c:yVal>
            <c:numRef>
              <c:f>'Hki-2012'!$C$77:$C$78</c:f>
              <c:numCache>
                <c:formatCode>General</c:formatCode>
                <c:ptCount val="2"/>
                <c:pt idx="0">
                  <c:v>0</c:v>
                </c:pt>
                <c:pt idx="1">
                  <c:v>8</c:v>
                </c:pt>
              </c:numCache>
            </c:numRef>
          </c:yVal>
          <c:smooth val="0"/>
          <c:extLst>
            <c:ext xmlns:c16="http://schemas.microsoft.com/office/drawing/2014/chart" uri="{C3380CC4-5D6E-409C-BE32-E72D297353CC}">
              <c16:uniqueId val="{00000006-87B3-4C86-AEA1-BCFB3D42C8D3}"/>
            </c:ext>
          </c:extLst>
        </c:ser>
        <c:dLbls>
          <c:showLegendKey val="0"/>
          <c:showVal val="0"/>
          <c:showCatName val="0"/>
          <c:showSerName val="0"/>
          <c:showPercent val="0"/>
          <c:showBubbleSize val="0"/>
        </c:dLbls>
        <c:axId val="43698432"/>
        <c:axId val="43389312"/>
      </c:scatterChart>
      <c:valAx>
        <c:axId val="43698432"/>
        <c:scaling>
          <c:orientation val="minMax"/>
          <c:max val="100"/>
          <c:min val="0"/>
        </c:scaling>
        <c:delete val="0"/>
        <c:axPos val="b"/>
        <c:title>
          <c:tx>
            <c:rich>
              <a:bodyPr/>
              <a:lstStyle/>
              <a:p>
                <a:pPr>
                  <a:defRPr/>
                </a:pPr>
                <a:r>
                  <a:rPr lang="en-US"/>
                  <a:t>Aika vuodessa, %</a:t>
                </a:r>
              </a:p>
            </c:rich>
          </c:tx>
          <c:overlay val="0"/>
        </c:title>
        <c:numFmt formatCode="General" sourceLinked="1"/>
        <c:majorTickMark val="out"/>
        <c:minorTickMark val="none"/>
        <c:tickLblPos val="nextTo"/>
        <c:txPr>
          <a:bodyPr rot="0" vert="horz"/>
          <a:lstStyle/>
          <a:p>
            <a:pPr>
              <a:defRPr/>
            </a:pPr>
            <a:endParaRPr lang="fi-FI"/>
          </a:p>
        </c:txPr>
        <c:crossAx val="43389312"/>
        <c:crossesAt val="-50"/>
        <c:crossBetween val="midCat"/>
      </c:valAx>
      <c:valAx>
        <c:axId val="43389312"/>
        <c:scaling>
          <c:orientation val="minMax"/>
          <c:min val="0"/>
        </c:scaling>
        <c:delete val="0"/>
        <c:axPos val="l"/>
        <c:majorGridlines/>
        <c:title>
          <c:tx>
            <c:rich>
              <a:bodyPr rot="-5400000" vert="horz"/>
              <a:lstStyle/>
              <a:p>
                <a:pPr>
                  <a:defRPr/>
                </a:pPr>
                <a:r>
                  <a:rPr lang="en-US"/>
                  <a:t>Teho, kW</a:t>
                </a:r>
              </a:p>
            </c:rich>
          </c:tx>
          <c:layout>
            <c:manualLayout>
              <c:xMode val="edge"/>
              <c:yMode val="edge"/>
              <c:x val="1.5245021948941839E-2"/>
              <c:y val="0.39257718817662179"/>
            </c:manualLayout>
          </c:layout>
          <c:overlay val="0"/>
        </c:title>
        <c:numFmt formatCode="General" sourceLinked="1"/>
        <c:majorTickMark val="out"/>
        <c:minorTickMark val="none"/>
        <c:tickLblPos val="nextTo"/>
        <c:crossAx val="43698432"/>
        <c:crosses val="autoZero"/>
        <c:crossBetween val="midCat"/>
      </c:valAx>
      <c:spPr>
        <a:solidFill>
          <a:sysClr val="window" lastClr="FFFFFF"/>
        </a:solidFill>
        <a:ln>
          <a:solidFill>
            <a:schemeClr val="tx1"/>
          </a:solidFill>
        </a:ln>
      </c:spPr>
    </c:plotArea>
    <c:legend>
      <c:legendPos val="r"/>
      <c:legendEntry>
        <c:idx val="6"/>
        <c:delete val="1"/>
      </c:legendEntry>
      <c:layout>
        <c:manualLayout>
          <c:xMode val="edge"/>
          <c:yMode val="edge"/>
          <c:x val="0.16488486265820779"/>
          <c:y val="7.0361106177517299E-2"/>
          <c:w val="0.55620811465068953"/>
          <c:h val="0.20278004838674102"/>
        </c:manualLayout>
      </c:layout>
      <c:overlay val="1"/>
      <c:spPr>
        <a:solidFill>
          <a:sysClr val="window" lastClr="FFFFFF"/>
        </a:solidFill>
      </c:spPr>
    </c:legend>
    <c:plotVisOnly val="1"/>
    <c:dispBlanksAs val="gap"/>
    <c:showDLblsOverMax val="0"/>
  </c:chart>
  <c:spPr>
    <a:ln>
      <a:noFill/>
    </a:ln>
  </c:spPr>
  <c:txPr>
    <a:bodyPr/>
    <a:lstStyle/>
    <a:p>
      <a:pPr>
        <a:defRPr sz="1200">
          <a:latin typeface="Arial" panose="020B0604020202020204" pitchFamily="34" charset="0"/>
          <a:cs typeface="Arial" panose="020B0604020202020204" pitchFamily="34" charset="0"/>
        </a:defRPr>
      </a:pPr>
      <a:endParaRPr lang="fi-FI"/>
    </a:p>
  </c:txPr>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autoTitleDeleted val="1"/>
    <c:plotArea>
      <c:layout>
        <c:manualLayout>
          <c:layoutTarget val="inner"/>
          <c:xMode val="edge"/>
          <c:yMode val="edge"/>
          <c:x val="8.1385731955919305E-2"/>
          <c:y val="1.5642288135035751E-2"/>
          <c:w val="0.8901112506454737"/>
          <c:h val="0.87604708244532647"/>
        </c:manualLayout>
      </c:layout>
      <c:scatterChart>
        <c:scatterStyle val="lineMarker"/>
        <c:varyColors val="0"/>
        <c:ser>
          <c:idx val="7"/>
          <c:order val="0"/>
          <c:tx>
            <c:strRef>
              <c:f>'Hki-2012'!$Y$22</c:f>
              <c:strCache>
                <c:ptCount val="1"/>
                <c:pt idx="0">
                  <c:v>Bruttolämmöntarve, kW</c:v>
                </c:pt>
              </c:strCache>
            </c:strRef>
          </c:tx>
          <c:spPr>
            <a:ln>
              <a:solidFill>
                <a:srgbClr val="FFC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'Hki-2012'!$Y$24:$Y$74</c:f>
              <c:numCache>
                <c:formatCode>General</c:formatCode>
                <c:ptCount val="51"/>
                <c:pt idx="0">
                  <c:v>7.2440479452054793</c:v>
                </c:pt>
                <c:pt idx="1">
                  <c:v>7.2440479452054793</c:v>
                </c:pt>
                <c:pt idx="2">
                  <c:v>7.0850479452054795</c:v>
                </c:pt>
                <c:pt idx="3">
                  <c:v>6.9260479452054797</c:v>
                </c:pt>
                <c:pt idx="4">
                  <c:v>6.767047945205479</c:v>
                </c:pt>
                <c:pt idx="5">
                  <c:v>6.6080479452054801</c:v>
                </c:pt>
                <c:pt idx="6">
                  <c:v>6.4490479452054794</c:v>
                </c:pt>
                <c:pt idx="7">
                  <c:v>6.2900479452054805</c:v>
                </c:pt>
                <c:pt idx="8">
                  <c:v>6.1310479452054798</c:v>
                </c:pt>
                <c:pt idx="9">
                  <c:v>5.97204794520548</c:v>
                </c:pt>
                <c:pt idx="10">
                  <c:v>5.8130479452054802</c:v>
                </c:pt>
                <c:pt idx="11">
                  <c:v>5.6540479452054795</c:v>
                </c:pt>
                <c:pt idx="12">
                  <c:v>5.4950479452054797</c:v>
                </c:pt>
                <c:pt idx="13">
                  <c:v>5.3360479452054799</c:v>
                </c:pt>
                <c:pt idx="14">
                  <c:v>5.1770479452054801</c:v>
                </c:pt>
                <c:pt idx="15">
                  <c:v>5.0180479452054803</c:v>
                </c:pt>
                <c:pt idx="16">
                  <c:v>4.8590479452054796</c:v>
                </c:pt>
                <c:pt idx="17">
                  <c:v>4.7000479452054797</c:v>
                </c:pt>
                <c:pt idx="18">
                  <c:v>4.5410479452054799</c:v>
                </c:pt>
                <c:pt idx="19">
                  <c:v>4.3820479452054801</c:v>
                </c:pt>
                <c:pt idx="20">
                  <c:v>4.2230479452054794</c:v>
                </c:pt>
                <c:pt idx="21">
                  <c:v>4.0640479452054796</c:v>
                </c:pt>
                <c:pt idx="22">
                  <c:v>3.9050479452054794</c:v>
                </c:pt>
                <c:pt idx="23">
                  <c:v>3.7460479452054791</c:v>
                </c:pt>
                <c:pt idx="24">
                  <c:v>3.5870479452054793</c:v>
                </c:pt>
                <c:pt idx="25">
                  <c:v>3.4280479452054795</c:v>
                </c:pt>
                <c:pt idx="26">
                  <c:v>3.2690479452054793</c:v>
                </c:pt>
                <c:pt idx="27">
                  <c:v>3.1100479452054794</c:v>
                </c:pt>
                <c:pt idx="28">
                  <c:v>2.9510479452054796</c:v>
                </c:pt>
                <c:pt idx="29">
                  <c:v>2.7920479452054794</c:v>
                </c:pt>
                <c:pt idx="30">
                  <c:v>2.6330479452054796</c:v>
                </c:pt>
                <c:pt idx="31">
                  <c:v>2.4740479452054793</c:v>
                </c:pt>
                <c:pt idx="32">
                  <c:v>2.3150479452054795</c:v>
                </c:pt>
                <c:pt idx="33">
                  <c:v>2.1560479452054793</c:v>
                </c:pt>
                <c:pt idx="34">
                  <c:v>1.9970479452054795</c:v>
                </c:pt>
                <c:pt idx="35">
                  <c:v>1.8380479452054792</c:v>
                </c:pt>
                <c:pt idx="36">
                  <c:v>1.6790479452054794</c:v>
                </c:pt>
                <c:pt idx="37">
                  <c:v>1.5200479452054796</c:v>
                </c:pt>
                <c:pt idx="38">
                  <c:v>1.3610479452054793</c:v>
                </c:pt>
                <c:pt idx="39">
                  <c:v>1.2020479452054795</c:v>
                </c:pt>
                <c:pt idx="40">
                  <c:v>1.0430479452054793</c:v>
                </c:pt>
                <c:pt idx="41">
                  <c:v>0.88404794520547947</c:v>
                </c:pt>
                <c:pt idx="42">
                  <c:v>0.72504794520547944</c:v>
                </c:pt>
                <c:pt idx="43">
                  <c:v>0.64554794520547942</c:v>
                </c:pt>
                <c:pt idx="44">
                  <c:v>0.64554794520547942</c:v>
                </c:pt>
                <c:pt idx="45">
                  <c:v>0.64554794520547942</c:v>
                </c:pt>
                <c:pt idx="46">
                  <c:v>0.64554794520547942</c:v>
                </c:pt>
                <c:pt idx="47">
                  <c:v>0.64554794520547942</c:v>
                </c:pt>
                <c:pt idx="48">
                  <c:v>0.64554794520547942</c:v>
                </c:pt>
                <c:pt idx="49">
                  <c:v>0.64554794520547942</c:v>
                </c:pt>
                <c:pt idx="50">
                  <c:v>0.64554794520547942</c:v>
                </c:pt>
              </c:numCache>
            </c:numRef>
          </c:yVal>
          <c:smooth val="0"/>
          <c:extLst>
            <c:ext xmlns:c16="http://schemas.microsoft.com/office/drawing/2014/chart" uri="{C3380CC4-5D6E-409C-BE32-E72D297353CC}">
              <c16:uniqueId val="{00000000-EA8D-443A-9D98-34E1953B8A39}"/>
            </c:ext>
          </c:extLst>
        </c:ser>
        <c:ser>
          <c:idx val="1"/>
          <c:order val="1"/>
          <c:tx>
            <c:strRef>
              <c:f>'Hki-2012'!$X$22</c:f>
              <c:strCache>
                <c:ptCount val="1"/>
                <c:pt idx="0">
                  <c:v>Nettolämmöntarve (hyödynnetyt lämpökuormat vähennetty), kW</c:v>
                </c:pt>
              </c:strCache>
            </c:strRef>
          </c:tx>
          <c:spPr>
            <a:ln w="22225">
              <a:solidFill>
                <a:srgbClr val="C00000"/>
              </a:solidFill>
              <a:prstDash val="solid"/>
            </a:ln>
          </c:spPr>
          <c:marker>
            <c:symbol val="circle"/>
            <c:size val="5"/>
            <c:spPr>
              <a:noFill/>
            </c:spPr>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'Hki-2012'!$X$24:$X$74</c:f>
              <c:numCache>
                <c:formatCode>General</c:formatCode>
                <c:ptCount val="51"/>
                <c:pt idx="0">
                  <c:v>6.714847945205479</c:v>
                </c:pt>
                <c:pt idx="1">
                  <c:v>6.714847945205479</c:v>
                </c:pt>
                <c:pt idx="2">
                  <c:v>6.5508473569745949</c:v>
                </c:pt>
                <c:pt idx="3">
                  <c:v>6.3194412493134262</c:v>
                </c:pt>
                <c:pt idx="4">
                  <c:v>6.07045375624371</c:v>
                </c:pt>
                <c:pt idx="5">
                  <c:v>5.7195248036902999</c:v>
                </c:pt>
                <c:pt idx="6">
                  <c:v>5.6405247058933554</c:v>
                </c:pt>
                <c:pt idx="7">
                  <c:v>5.7025193353421431</c:v>
                </c:pt>
                <c:pt idx="8">
                  <c:v>5.5074139276838059</c:v>
                </c:pt>
                <c:pt idx="9">
                  <c:v>5.3190597176139187</c:v>
                </c:pt>
                <c:pt idx="10">
                  <c:v>5.1843476983539061</c:v>
                </c:pt>
                <c:pt idx="11">
                  <c:v>4.9286066547257192</c:v>
                </c:pt>
                <c:pt idx="12">
                  <c:v>4.7970147182840348</c:v>
                </c:pt>
                <c:pt idx="13">
                  <c:v>4.7060900855379302</c:v>
                </c:pt>
                <c:pt idx="14">
                  <c:v>4.4847583991551057</c:v>
                </c:pt>
                <c:pt idx="15">
                  <c:v>4.2672178028754386</c:v>
                </c:pt>
                <c:pt idx="16">
                  <c:v>4.1214860857152251</c:v>
                </c:pt>
                <c:pt idx="17">
                  <c:v>4.0006229076335398</c:v>
                </c:pt>
                <c:pt idx="18">
                  <c:v>3.816384876333863</c:v>
                </c:pt>
                <c:pt idx="19">
                  <c:v>3.719234503713726</c:v>
                </c:pt>
                <c:pt idx="20">
                  <c:v>3.493510156009294</c:v>
                </c:pt>
                <c:pt idx="21">
                  <c:v>3.3264134810576174</c:v>
                </c:pt>
                <c:pt idx="22">
                  <c:v>3.1867644209761878</c:v>
                </c:pt>
                <c:pt idx="23">
                  <c:v>2.9956721541475688</c:v>
                </c:pt>
                <c:pt idx="24">
                  <c:v>2.7343398510952506</c:v>
                </c:pt>
                <c:pt idx="25">
                  <c:v>2.5369786590360643</c:v>
                </c:pt>
                <c:pt idx="26">
                  <c:v>2.2957493064849466</c:v>
                </c:pt>
                <c:pt idx="27">
                  <c:v>2.088719062631923</c:v>
                </c:pt>
                <c:pt idx="28">
                  <c:v>2.1091305394346449</c:v>
                </c:pt>
                <c:pt idx="29">
                  <c:v>1.7788382439311161</c:v>
                </c:pt>
                <c:pt idx="30">
                  <c:v>1.6029235087768752</c:v>
                </c:pt>
                <c:pt idx="31">
                  <c:v>1.2870568261340882</c:v>
                </c:pt>
                <c:pt idx="32">
                  <c:v>1.0606245479202285</c:v>
                </c:pt>
                <c:pt idx="33">
                  <c:v>0.86814794520547922</c:v>
                </c:pt>
                <c:pt idx="34">
                  <c:v>0.80454794520547912</c:v>
                </c:pt>
                <c:pt idx="35">
                  <c:v>0.74094794520547924</c:v>
                </c:pt>
                <c:pt idx="36">
                  <c:v>0.6869283953033265</c:v>
                </c:pt>
                <c:pt idx="37">
                  <c:v>0.64672410958904136</c:v>
                </c:pt>
                <c:pt idx="38">
                  <c:v>0.64554794520547942</c:v>
                </c:pt>
                <c:pt idx="39">
                  <c:v>0.64554794520547953</c:v>
                </c:pt>
                <c:pt idx="40">
                  <c:v>0.64554794520547942</c:v>
                </c:pt>
                <c:pt idx="41">
                  <c:v>0.64554794520547953</c:v>
                </c:pt>
                <c:pt idx="42">
                  <c:v>0.64554794520547942</c:v>
                </c:pt>
                <c:pt idx="43">
                  <c:v>0.64554794520547942</c:v>
                </c:pt>
                <c:pt idx="44">
                  <c:v>0.64554794520547942</c:v>
                </c:pt>
                <c:pt idx="45">
                  <c:v>0.64554794520547942</c:v>
                </c:pt>
                <c:pt idx="46">
                  <c:v>0.64554794520547942</c:v>
                </c:pt>
                <c:pt idx="47">
                  <c:v>0.64554794520547942</c:v>
                </c:pt>
                <c:pt idx="48">
                  <c:v>0.64554794520547942</c:v>
                </c:pt>
                <c:pt idx="49">
                  <c:v>0.64554794520547942</c:v>
                </c:pt>
                <c:pt idx="50">
                  <c:v>0.64554794520547942</c:v>
                </c:pt>
              </c:numCache>
            </c:numRef>
          </c:yVal>
          <c:smooth val="0"/>
          <c:extLst>
            <c:ext xmlns:c16="http://schemas.microsoft.com/office/drawing/2014/chart" uri="{C3380CC4-5D6E-409C-BE32-E72D297353CC}">
              <c16:uniqueId val="{00000001-EA8D-443A-9D98-34E1953B8A39}"/>
            </c:ext>
          </c:extLst>
        </c:ser>
        <c:ser>
          <c:idx val="2"/>
          <c:order val="2"/>
          <c:tx>
            <c:strRef>
              <c:f>'Hki-2012'!$AF$22</c:f>
              <c:strCache>
                <c:ptCount val="1"/>
                <c:pt idx="0">
                  <c:v>PILP:n lauhduttimen teho, kW</c:v>
                </c:pt>
              </c:strCache>
            </c:strRef>
          </c:tx>
          <c:spPr>
            <a:ln>
              <a:solidFill>
                <a:srgbClr val="00800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'Hki-2012'!$AF$24:$AF$74</c:f>
              <c:numCache>
                <c:formatCode>General</c:formatCode>
                <c:ptCount val="51"/>
                <c:pt idx="0">
                  <c:v>0.875</c:v>
                </c:pt>
                <c:pt idx="1">
                  <c:v>0.875</c:v>
                </c:pt>
                <c:pt idx="2">
                  <c:v>0.875</c:v>
                </c:pt>
                <c:pt idx="3">
                  <c:v>0.875</c:v>
                </c:pt>
                <c:pt idx="4">
                  <c:v>0.875</c:v>
                </c:pt>
                <c:pt idx="5">
                  <c:v>0.875</c:v>
                </c:pt>
                <c:pt idx="6">
                  <c:v>0.875</c:v>
                </c:pt>
                <c:pt idx="7">
                  <c:v>0.875</c:v>
                </c:pt>
                <c:pt idx="8">
                  <c:v>0.875</c:v>
                </c:pt>
                <c:pt idx="9">
                  <c:v>0.875</c:v>
                </c:pt>
                <c:pt idx="10">
                  <c:v>0.875</c:v>
                </c:pt>
                <c:pt idx="11">
                  <c:v>0.875</c:v>
                </c:pt>
                <c:pt idx="12">
                  <c:v>0.875</c:v>
                </c:pt>
                <c:pt idx="13">
                  <c:v>0.875</c:v>
                </c:pt>
                <c:pt idx="14">
                  <c:v>0.875</c:v>
                </c:pt>
                <c:pt idx="15">
                  <c:v>0.875</c:v>
                </c:pt>
                <c:pt idx="16">
                  <c:v>0.875</c:v>
                </c:pt>
                <c:pt idx="17">
                  <c:v>0.875</c:v>
                </c:pt>
                <c:pt idx="18">
                  <c:v>0.875</c:v>
                </c:pt>
                <c:pt idx="19">
                  <c:v>0.875</c:v>
                </c:pt>
                <c:pt idx="20">
                  <c:v>0.875</c:v>
                </c:pt>
                <c:pt idx="21">
                  <c:v>0.875</c:v>
                </c:pt>
                <c:pt idx="22">
                  <c:v>0.875</c:v>
                </c:pt>
                <c:pt idx="23">
                  <c:v>0.875</c:v>
                </c:pt>
                <c:pt idx="24">
                  <c:v>0.875</c:v>
                </c:pt>
                <c:pt idx="25">
                  <c:v>0.875</c:v>
                </c:pt>
                <c:pt idx="26">
                  <c:v>0.875</c:v>
                </c:pt>
                <c:pt idx="27">
                  <c:v>0.875</c:v>
                </c:pt>
                <c:pt idx="28">
                  <c:v>0.875</c:v>
                </c:pt>
                <c:pt idx="29">
                  <c:v>0.875</c:v>
                </c:pt>
                <c:pt idx="30">
                  <c:v>0.875</c:v>
                </c:pt>
                <c:pt idx="31">
                  <c:v>0.875</c:v>
                </c:pt>
                <c:pt idx="32">
                  <c:v>0.875</c:v>
                </c:pt>
                <c:pt idx="33">
                  <c:v>0.73747609310204221</c:v>
                </c:pt>
                <c:pt idx="34">
                  <c:v>0.70198972274266358</c:v>
                </c:pt>
                <c:pt idx="35">
                  <c:v>0.66650335238328584</c:v>
                </c:pt>
                <c:pt idx="36">
                  <c:v>0.6455479452054792</c:v>
                </c:pt>
                <c:pt idx="37">
                  <c:v>0.64554794520547953</c:v>
                </c:pt>
                <c:pt idx="38">
                  <c:v>0.53100000000000003</c:v>
                </c:pt>
                <c:pt idx="39">
                  <c:v>0.41299999999999998</c:v>
                </c:pt>
                <c:pt idx="40">
                  <c:v>0.29499999999999998</c:v>
                </c:pt>
                <c:pt idx="41">
                  <c:v>0.17699999999999999</c:v>
                </c:pt>
                <c:pt idx="42">
                  <c:v>5.899999999999999E-2</c:v>
                </c:pt>
                <c:pt idx="43">
                  <c:v>0</c:v>
                </c:pt>
                <c:pt idx="44">
                  <c:v>0</c:v>
                </c:pt>
                <c:pt idx="45">
                  <c:v>0</c:v>
                </c:pt>
                <c:pt idx="46">
                  <c:v>0</c:v>
                </c:pt>
                <c:pt idx="47">
                  <c:v>0</c:v>
                </c:pt>
                <c:pt idx="48">
                  <c:v>0</c:v>
                </c:pt>
                <c:pt idx="49">
                  <c:v>0</c:v>
                </c:pt>
                <c:pt idx="50">
                  <c:v>0</c:v>
                </c:pt>
              </c:numCache>
            </c:numRef>
          </c:yVal>
          <c:smooth val="0"/>
          <c:extLst>
            <c:ext xmlns:c16="http://schemas.microsoft.com/office/drawing/2014/chart" uri="{C3380CC4-5D6E-409C-BE32-E72D297353CC}">
              <c16:uniqueId val="{00000002-EA8D-443A-9D98-34E1953B8A39}"/>
            </c:ext>
          </c:extLst>
        </c:ser>
        <c:ser>
          <c:idx val="0"/>
          <c:order val="3"/>
          <c:tx>
            <c:strRef>
              <c:f>'Hki-2012'!$AD$22</c:f>
              <c:strCache>
                <c:ptCount val="1"/>
                <c:pt idx="0">
                  <c:v>PILP:n kompressorin sähköteho, kW</c:v>
                </c:pt>
              </c:strCache>
            </c:strRef>
          </c:tx>
          <c:spPr>
            <a:ln>
              <a:solidFill>
                <a:srgbClr val="7030A0"/>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'Hki-2012'!$AD$24:$AD$74</c:f>
              <c:numCache>
                <c:formatCode>General</c:formatCode>
                <c:ptCount val="51"/>
                <c:pt idx="0">
                  <c:v>0.35</c:v>
                </c:pt>
                <c:pt idx="1">
                  <c:v>0.35</c:v>
                </c:pt>
                <c:pt idx="2">
                  <c:v>0.35</c:v>
                </c:pt>
                <c:pt idx="3">
                  <c:v>0.35</c:v>
                </c:pt>
                <c:pt idx="4">
                  <c:v>0.35</c:v>
                </c:pt>
                <c:pt idx="5">
                  <c:v>0.35</c:v>
                </c:pt>
                <c:pt idx="6">
                  <c:v>0.35</c:v>
                </c:pt>
                <c:pt idx="7">
                  <c:v>0.35</c:v>
                </c:pt>
                <c:pt idx="8">
                  <c:v>0.35</c:v>
                </c:pt>
                <c:pt idx="9">
                  <c:v>0.35</c:v>
                </c:pt>
                <c:pt idx="10">
                  <c:v>0.35</c:v>
                </c:pt>
                <c:pt idx="11">
                  <c:v>0.35</c:v>
                </c:pt>
                <c:pt idx="12">
                  <c:v>0.35</c:v>
                </c:pt>
                <c:pt idx="13">
                  <c:v>0.35</c:v>
                </c:pt>
                <c:pt idx="14">
                  <c:v>0.35</c:v>
                </c:pt>
                <c:pt idx="15">
                  <c:v>0.35</c:v>
                </c:pt>
                <c:pt idx="16">
                  <c:v>0.35</c:v>
                </c:pt>
                <c:pt idx="17">
                  <c:v>0.35</c:v>
                </c:pt>
                <c:pt idx="18">
                  <c:v>0.35</c:v>
                </c:pt>
                <c:pt idx="19">
                  <c:v>0.35</c:v>
                </c:pt>
                <c:pt idx="20">
                  <c:v>0.35</c:v>
                </c:pt>
                <c:pt idx="21">
                  <c:v>0.35</c:v>
                </c:pt>
                <c:pt idx="22">
                  <c:v>0.35</c:v>
                </c:pt>
                <c:pt idx="23">
                  <c:v>0.35</c:v>
                </c:pt>
                <c:pt idx="24">
                  <c:v>0.35</c:v>
                </c:pt>
                <c:pt idx="25">
                  <c:v>0.35</c:v>
                </c:pt>
                <c:pt idx="26">
                  <c:v>0.35</c:v>
                </c:pt>
                <c:pt idx="27">
                  <c:v>0.35</c:v>
                </c:pt>
                <c:pt idx="28">
                  <c:v>0.35</c:v>
                </c:pt>
                <c:pt idx="29">
                  <c:v>0.35</c:v>
                </c:pt>
                <c:pt idx="30">
                  <c:v>0.35</c:v>
                </c:pt>
                <c:pt idx="31">
                  <c:v>0.35</c:v>
                </c:pt>
                <c:pt idx="32">
                  <c:v>0.35</c:v>
                </c:pt>
                <c:pt idx="33">
                  <c:v>0.29499043724081692</c:v>
                </c:pt>
                <c:pt idx="34">
                  <c:v>0.28079588909706549</c:v>
                </c:pt>
                <c:pt idx="35">
                  <c:v>0.26660134095331434</c:v>
                </c:pt>
                <c:pt idx="36">
                  <c:v>0.25821917808219164</c:v>
                </c:pt>
                <c:pt idx="37">
                  <c:v>0.25821917808219186</c:v>
                </c:pt>
                <c:pt idx="38">
                  <c:v>0.21239999999999998</c:v>
                </c:pt>
                <c:pt idx="39">
                  <c:v>0.16519999999999999</c:v>
                </c:pt>
                <c:pt idx="40">
                  <c:v>0.11799999999999999</c:v>
                </c:pt>
                <c:pt idx="41">
                  <c:v>7.0800000000000002E-2</c:v>
                </c:pt>
                <c:pt idx="42">
                  <c:v>2.3599999999999999E-2</c:v>
                </c:pt>
                <c:pt idx="43">
                  <c:v>0</c:v>
                </c:pt>
                <c:pt idx="44">
                  <c:v>0</c:v>
                </c:pt>
                <c:pt idx="45">
                  <c:v>0</c:v>
                </c:pt>
                <c:pt idx="46">
                  <c:v>0</c:v>
                </c:pt>
                <c:pt idx="47">
                  <c:v>0</c:v>
                </c:pt>
                <c:pt idx="48">
                  <c:v>0</c:v>
                </c:pt>
                <c:pt idx="49">
                  <c:v>0</c:v>
                </c:pt>
                <c:pt idx="50">
                  <c:v>0</c:v>
                </c:pt>
              </c:numCache>
            </c:numRef>
          </c:yVal>
          <c:smooth val="0"/>
          <c:extLst>
            <c:ext xmlns:c16="http://schemas.microsoft.com/office/drawing/2014/chart" uri="{C3380CC4-5D6E-409C-BE32-E72D297353CC}">
              <c16:uniqueId val="{00000003-EA8D-443A-9D98-34E1953B8A39}"/>
            </c:ext>
          </c:extLst>
        </c:ser>
        <c:ser>
          <c:idx val="3"/>
          <c:order val="4"/>
          <c:tx>
            <c:strRef>
              <c:f>'Hki-2012'!$AQ$22</c:f>
              <c:strCache>
                <c:ptCount val="1"/>
                <c:pt idx="0">
                  <c:v>Käyttövesi, sen lämpöhäviö ja muu lämpöhäviö, kW</c:v>
                </c:pt>
              </c:strCache>
            </c:strRef>
          </c:tx>
          <c:spPr>
            <a:ln>
              <a:solidFill>
                <a:srgbClr val="0066FF"/>
              </a:solidFill>
            </a:ln>
          </c:spPr>
          <c:marker>
            <c:symbol val="none"/>
          </c:marker>
          <c:xVal>
            <c:numRef>
              <c:f>'Hki-2012'!$A$24:$A$74</c:f>
              <c:numCache>
                <c:formatCode>General</c:formatCode>
                <c:ptCount val="51"/>
                <c:pt idx="0">
                  <c:v>0</c:v>
                </c:pt>
                <c:pt idx="1">
                  <c:v>7.9908675799086767E-2</c:v>
                </c:pt>
                <c:pt idx="2">
                  <c:v>0.33105022831050229</c:v>
                </c:pt>
                <c:pt idx="3">
                  <c:v>0.55936073059360725</c:v>
                </c:pt>
                <c:pt idx="4">
                  <c:v>0.83333333333333337</c:v>
                </c:pt>
                <c:pt idx="5">
                  <c:v>1.1986301369863013</c:v>
                </c:pt>
                <c:pt idx="6">
                  <c:v>1.872146118721461</c:v>
                </c:pt>
                <c:pt idx="7">
                  <c:v>2.7625570776255706</c:v>
                </c:pt>
                <c:pt idx="8">
                  <c:v>3.5502283105022832</c:v>
                </c:pt>
                <c:pt idx="9">
                  <c:v>4.3493150684931505</c:v>
                </c:pt>
                <c:pt idx="10">
                  <c:v>4.9315068493150687</c:v>
                </c:pt>
                <c:pt idx="11">
                  <c:v>5.4452054794520546</c:v>
                </c:pt>
                <c:pt idx="12">
                  <c:v>6.0502283105022832</c:v>
                </c:pt>
                <c:pt idx="13">
                  <c:v>7.0319634703196341</c:v>
                </c:pt>
                <c:pt idx="14">
                  <c:v>8.4589041095890405</c:v>
                </c:pt>
                <c:pt idx="15">
                  <c:v>10.114155251141552</c:v>
                </c:pt>
                <c:pt idx="16">
                  <c:v>11.997716894977168</c:v>
                </c:pt>
                <c:pt idx="17">
                  <c:v>14.121004566210047</c:v>
                </c:pt>
                <c:pt idx="18">
                  <c:v>16.289954337899541</c:v>
                </c:pt>
                <c:pt idx="19">
                  <c:v>18.755707762557076</c:v>
                </c:pt>
                <c:pt idx="20">
                  <c:v>21.44977168949772</c:v>
                </c:pt>
                <c:pt idx="21">
                  <c:v>25.034246575342468</c:v>
                </c:pt>
                <c:pt idx="22">
                  <c:v>31.244292237442924</c:v>
                </c:pt>
                <c:pt idx="23">
                  <c:v>36.803652968036531</c:v>
                </c:pt>
                <c:pt idx="24">
                  <c:v>41.974885844748862</c:v>
                </c:pt>
                <c:pt idx="25">
                  <c:v>45.856164383561641</c:v>
                </c:pt>
                <c:pt idx="26">
                  <c:v>49.075342465753423</c:v>
                </c:pt>
                <c:pt idx="27">
                  <c:v>52.363013698630134</c:v>
                </c:pt>
                <c:pt idx="28">
                  <c:v>55.707762557077622</c:v>
                </c:pt>
                <c:pt idx="29">
                  <c:v>59.006849315068486</c:v>
                </c:pt>
                <c:pt idx="30">
                  <c:v>62.237442922374427</c:v>
                </c:pt>
                <c:pt idx="31">
                  <c:v>65.55936073059361</c:v>
                </c:pt>
                <c:pt idx="32">
                  <c:v>68.80136986301369</c:v>
                </c:pt>
                <c:pt idx="33">
                  <c:v>72.203196347031962</c:v>
                </c:pt>
                <c:pt idx="34">
                  <c:v>75.525114155251146</c:v>
                </c:pt>
                <c:pt idx="35">
                  <c:v>79.109589041095902</c:v>
                </c:pt>
                <c:pt idx="36">
                  <c:v>82.659817351598178</c:v>
                </c:pt>
                <c:pt idx="37">
                  <c:v>85.947488584474883</c:v>
                </c:pt>
                <c:pt idx="38">
                  <c:v>89.292237442922371</c:v>
                </c:pt>
                <c:pt idx="39">
                  <c:v>91.769406392694066</c:v>
                </c:pt>
                <c:pt idx="40">
                  <c:v>93.664383561643831</c:v>
                </c:pt>
                <c:pt idx="41">
                  <c:v>95.479452054794521</c:v>
                </c:pt>
                <c:pt idx="42">
                  <c:v>97.100456621004568</c:v>
                </c:pt>
                <c:pt idx="43">
                  <c:v>98.1392694063927</c:v>
                </c:pt>
                <c:pt idx="44">
                  <c:v>98.698630136986296</c:v>
                </c:pt>
                <c:pt idx="45">
                  <c:v>99.166666666666671</c:v>
                </c:pt>
                <c:pt idx="46">
                  <c:v>99.497716894977174</c:v>
                </c:pt>
                <c:pt idx="47">
                  <c:v>99.851598173515981</c:v>
                </c:pt>
                <c:pt idx="48">
                  <c:v>99.908675799086751</c:v>
                </c:pt>
                <c:pt idx="49">
                  <c:v>99.942922374429216</c:v>
                </c:pt>
                <c:pt idx="50">
                  <c:v>100</c:v>
                </c:pt>
              </c:numCache>
            </c:numRef>
          </c:xVal>
          <c:yVal>
            <c:numRef>
              <c:f>'Hki-2012'!$AQ$24:$AQ$74</c:f>
              <c:numCache>
                <c:formatCode>General</c:formatCode>
                <c:ptCount val="51"/>
                <c:pt idx="0">
                  <c:v>0.64554794520547942</c:v>
                </c:pt>
                <c:pt idx="1">
                  <c:v>0.64554794520547942</c:v>
                </c:pt>
                <c:pt idx="2">
                  <c:v>0.64554794520547942</c:v>
                </c:pt>
                <c:pt idx="3">
                  <c:v>0.64554794520547942</c:v>
                </c:pt>
                <c:pt idx="4">
                  <c:v>0.64554794520547942</c:v>
                </c:pt>
                <c:pt idx="5">
                  <c:v>0.64554794520547942</c:v>
                </c:pt>
                <c:pt idx="6">
                  <c:v>0.64554794520547942</c:v>
                </c:pt>
                <c:pt idx="7">
                  <c:v>0.64554794520547942</c:v>
                </c:pt>
                <c:pt idx="8">
                  <c:v>0.64554794520547942</c:v>
                </c:pt>
                <c:pt idx="9">
                  <c:v>0.64554794520547942</c:v>
                </c:pt>
                <c:pt idx="10">
                  <c:v>0.64554794520547942</c:v>
                </c:pt>
                <c:pt idx="11">
                  <c:v>0.64554794520547942</c:v>
                </c:pt>
                <c:pt idx="12">
                  <c:v>0.64554794520547942</c:v>
                </c:pt>
                <c:pt idx="13">
                  <c:v>0.64554794520547942</c:v>
                </c:pt>
                <c:pt idx="14">
                  <c:v>0.64554794520547942</c:v>
                </c:pt>
                <c:pt idx="15">
                  <c:v>0.64554794520547942</c:v>
                </c:pt>
                <c:pt idx="16">
                  <c:v>0.64554794520547942</c:v>
                </c:pt>
                <c:pt idx="17">
                  <c:v>0.64554794520547942</c:v>
                </c:pt>
                <c:pt idx="18">
                  <c:v>0.64554794520547942</c:v>
                </c:pt>
                <c:pt idx="19">
                  <c:v>0.64554794520547942</c:v>
                </c:pt>
                <c:pt idx="20">
                  <c:v>0.64554794520547942</c:v>
                </c:pt>
                <c:pt idx="21">
                  <c:v>0.64554794520547942</c:v>
                </c:pt>
                <c:pt idx="22">
                  <c:v>0.64554794520547942</c:v>
                </c:pt>
                <c:pt idx="23">
                  <c:v>0.64554794520547942</c:v>
                </c:pt>
                <c:pt idx="24">
                  <c:v>0.64554794520547942</c:v>
                </c:pt>
                <c:pt idx="25">
                  <c:v>0.64554794520547942</c:v>
                </c:pt>
                <c:pt idx="26">
                  <c:v>0.64554794520547942</c:v>
                </c:pt>
                <c:pt idx="27">
                  <c:v>0.64554794520547942</c:v>
                </c:pt>
                <c:pt idx="28">
                  <c:v>0.64554794520547942</c:v>
                </c:pt>
                <c:pt idx="29">
                  <c:v>0.64554794520547942</c:v>
                </c:pt>
                <c:pt idx="30">
                  <c:v>0.64554794520547942</c:v>
                </c:pt>
                <c:pt idx="31">
                  <c:v>0.64554794520547942</c:v>
                </c:pt>
                <c:pt idx="32">
                  <c:v>0.64554794520547942</c:v>
                </c:pt>
                <c:pt idx="33">
                  <c:v>0.64554794520547942</c:v>
                </c:pt>
                <c:pt idx="34">
                  <c:v>0.64554794520547942</c:v>
                </c:pt>
                <c:pt idx="35">
                  <c:v>0.64554794520547942</c:v>
                </c:pt>
                <c:pt idx="36">
                  <c:v>0.64554794520547942</c:v>
                </c:pt>
                <c:pt idx="37">
                  <c:v>0.64554794520547942</c:v>
                </c:pt>
                <c:pt idx="38">
                  <c:v>0.64554794520547942</c:v>
                </c:pt>
                <c:pt idx="39">
                  <c:v>0.64554794520547942</c:v>
                </c:pt>
                <c:pt idx="40">
                  <c:v>0.64554794520547942</c:v>
                </c:pt>
                <c:pt idx="41">
                  <c:v>0.64554794520547942</c:v>
                </c:pt>
                <c:pt idx="42">
                  <c:v>0.64554794520547942</c:v>
                </c:pt>
                <c:pt idx="43">
                  <c:v>0.64554794520547942</c:v>
                </c:pt>
                <c:pt idx="44">
                  <c:v>0.64554794520547942</c:v>
                </c:pt>
                <c:pt idx="45">
                  <c:v>0.64554794520547942</c:v>
                </c:pt>
                <c:pt idx="46">
                  <c:v>0.64554794520547942</c:v>
                </c:pt>
                <c:pt idx="47">
                  <c:v>0.64554794520547942</c:v>
                </c:pt>
                <c:pt idx="48">
                  <c:v>0.64554794520547942</c:v>
                </c:pt>
                <c:pt idx="49">
                  <c:v>0.64554794520547942</c:v>
                </c:pt>
                <c:pt idx="50">
                  <c:v>0.64554794520547942</c:v>
                </c:pt>
              </c:numCache>
            </c:numRef>
          </c:yVal>
          <c:smooth val="0"/>
          <c:extLst>
            <c:ext xmlns:c16="http://schemas.microsoft.com/office/drawing/2014/chart" uri="{C3380CC4-5D6E-409C-BE32-E72D297353CC}">
              <c16:uniqueId val="{00000004-EA8D-443A-9D98-34E1953B8A39}"/>
            </c:ext>
          </c:extLst>
        </c:ser>
        <c:ser>
          <c:idx val="5"/>
          <c:order val="5"/>
          <c:tx>
            <c:strRef>
              <c:f>'Hki-2012'!$B$76</c:f>
              <c:strCache>
                <c:ptCount val="1"/>
                <c:pt idx="0">
                  <c:v>Lämmitysraja, ulkolämpötila on 12 °C</c:v>
                </c:pt>
              </c:strCache>
            </c:strRef>
          </c:tx>
          <c:spPr>
            <a:ln w="19050">
              <a:solidFill>
                <a:schemeClr val="tx1"/>
              </a:solidFill>
            </a:ln>
          </c:spPr>
          <c:marker>
            <c:symbol val="none"/>
          </c:marker>
          <c:xVal>
            <c:numRef>
              <c:f>'Hki-2012'!$A$77:$A$78</c:f>
              <c:numCache>
                <c:formatCode>General</c:formatCode>
                <c:ptCount val="2"/>
                <c:pt idx="0">
                  <c:v>72.203196347031962</c:v>
                </c:pt>
                <c:pt idx="1">
                  <c:v>72.203196347031962</c:v>
                </c:pt>
              </c:numCache>
            </c:numRef>
          </c:xVal>
          <c:yVal>
            <c:numRef>
              <c:f>'Hki-2012'!$C$77:$C$78</c:f>
              <c:numCache>
                <c:formatCode>General</c:formatCode>
                <c:ptCount val="2"/>
                <c:pt idx="0">
                  <c:v>0</c:v>
                </c:pt>
                <c:pt idx="1">
                  <c:v>8</c:v>
                </c:pt>
              </c:numCache>
            </c:numRef>
          </c:yVal>
          <c:smooth val="0"/>
          <c:extLst>
            <c:ext xmlns:c16="http://schemas.microsoft.com/office/drawing/2014/chart" uri="{C3380CC4-5D6E-409C-BE32-E72D297353CC}">
              <c16:uniqueId val="{00000005-EA8D-443A-9D98-34E1953B8A39}"/>
            </c:ext>
          </c:extLst>
        </c:ser>
        <c:dLbls>
          <c:showLegendKey val="0"/>
          <c:showVal val="0"/>
          <c:showCatName val="0"/>
          <c:showSerName val="0"/>
          <c:showPercent val="0"/>
          <c:showBubbleSize val="0"/>
        </c:dLbls>
        <c:axId val="44001152"/>
        <c:axId val="44007424"/>
      </c:scatterChart>
      <c:valAx>
        <c:axId val="44001152"/>
        <c:scaling>
          <c:orientation val="minMax"/>
          <c:max val="100"/>
          <c:min val="0"/>
        </c:scaling>
        <c:delete val="0"/>
        <c:axPos val="b"/>
        <c:title>
          <c:tx>
            <c:rich>
              <a:bodyPr/>
              <a:lstStyle/>
              <a:p>
                <a:pPr>
                  <a:defRPr/>
                </a:pPr>
                <a:r>
                  <a:rPr lang="en-US"/>
                  <a:t>Aika vuodessa, %</a:t>
                </a:r>
              </a:p>
            </c:rich>
          </c:tx>
          <c:overlay val="0"/>
        </c:title>
        <c:numFmt formatCode="General" sourceLinked="1"/>
        <c:majorTickMark val="out"/>
        <c:minorTickMark val="none"/>
        <c:tickLblPos val="nextTo"/>
        <c:txPr>
          <a:bodyPr rot="0" vert="horz"/>
          <a:lstStyle/>
          <a:p>
            <a:pPr>
              <a:defRPr/>
            </a:pPr>
            <a:endParaRPr lang="fi-FI"/>
          </a:p>
        </c:txPr>
        <c:crossAx val="44007424"/>
        <c:crossesAt val="-50"/>
        <c:crossBetween val="midCat"/>
      </c:valAx>
      <c:valAx>
        <c:axId val="44007424"/>
        <c:scaling>
          <c:orientation val="minMax"/>
          <c:min val="0"/>
        </c:scaling>
        <c:delete val="0"/>
        <c:axPos val="l"/>
        <c:majorGridlines/>
        <c:title>
          <c:tx>
            <c:rich>
              <a:bodyPr rot="-5400000" vert="horz"/>
              <a:lstStyle/>
              <a:p>
                <a:pPr>
                  <a:defRPr/>
                </a:pPr>
                <a:r>
                  <a:rPr lang="en-US"/>
                  <a:t>Teho, kW</a:t>
                </a:r>
              </a:p>
            </c:rich>
          </c:tx>
          <c:layout>
            <c:manualLayout>
              <c:xMode val="edge"/>
              <c:yMode val="edge"/>
              <c:x val="1.2506659933602267E-2"/>
              <c:y val="0.39257718817662179"/>
            </c:manualLayout>
          </c:layout>
          <c:overlay val="0"/>
        </c:title>
        <c:numFmt formatCode="General" sourceLinked="1"/>
        <c:majorTickMark val="out"/>
        <c:minorTickMark val="none"/>
        <c:tickLblPos val="nextTo"/>
        <c:crossAx val="44001152"/>
        <c:crosses val="autoZero"/>
        <c:crossBetween val="midCat"/>
      </c:valAx>
      <c:spPr>
        <a:solidFill>
          <a:sysClr val="window" lastClr="FFFFFF"/>
        </a:solidFill>
        <a:ln>
          <a:solidFill>
            <a:schemeClr val="tx1"/>
          </a:solidFill>
        </a:ln>
      </c:spPr>
    </c:plotArea>
    <c:legend>
      <c:legendPos val="r"/>
      <c:legendEntry>
        <c:idx val="5"/>
        <c:delete val="1"/>
      </c:legendEntry>
      <c:layout>
        <c:manualLayout>
          <c:xMode val="edge"/>
          <c:yMode val="edge"/>
          <c:x val="0.210116318724962"/>
          <c:y val="6.4189879845421335E-2"/>
          <c:w val="0.50709361760814375"/>
          <c:h val="0.18401637452353631"/>
        </c:manualLayout>
      </c:layout>
      <c:overlay val="1"/>
      <c:spPr>
        <a:solidFill>
          <a:sysClr val="window" lastClr="FFFFFF"/>
        </a:solidFill>
      </c:spPr>
    </c:legend>
    <c:plotVisOnly val="1"/>
    <c:dispBlanksAs val="gap"/>
    <c:showDLblsOverMax val="0"/>
  </c:chart>
  <c:spPr>
    <a:ln>
      <a:noFill/>
    </a:ln>
  </c:spPr>
  <c:txPr>
    <a:bodyPr/>
    <a:lstStyle/>
    <a:p>
      <a:pPr>
        <a:defRPr sz="1200">
          <a:latin typeface="Arial" panose="020B0604020202020204" pitchFamily="34" charset="0"/>
          <a:cs typeface="Arial" panose="020B0604020202020204" pitchFamily="34" charset="0"/>
        </a:defRPr>
      </a:pPr>
      <a:endParaRPr lang="fi-FI"/>
    </a:p>
  </c:txPr>
  <c:userShapes r:id="rId1"/>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chartsheets/_rels/sheet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chartsheets/_rels/sheet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chartsheets/_rels/sheet5.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chartsheets/_rels/sheet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200-000000000000}">
  <sheetPr codeName="Chart5"/>
  <sheetViews>
    <sheetView zoomScale="110" workbookViewId="0"/>
  </sheetViews>
  <sheetProtection password="94B5" content="1" objects="1"/>
  <pageMargins left="0.70866141732283472" right="0.70866141732283472" top="0.74803149606299213" bottom="0.74803149606299213" header="0.31496062992125984" footer="0.31496062992125984"/>
  <pageSetup paperSize="9" orientation="landscape" r:id="rId1"/>
  <headerFooter>
    <oddHeader>&amp;CPILP-laskin 2018 
lämpöhäviöiden tasauslaskentaa varten&amp;R&amp;D, &amp;T</oddHeader>
  </headerFooter>
  <drawing r:id="rId2"/>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codeName="Chart10"/>
  <sheetViews>
    <sheetView zoomScale="110" workbookViewId="0"/>
  </sheetViews>
  <sheetProtection password="94B5" content="1" objects="1"/>
  <pageMargins left="0.70866141732283472" right="0.70866141732283472" top="0.74803149606299213" bottom="0.74803149606299213" header="0.31496062992125984" footer="0.31496062992125984"/>
  <pageSetup paperSize="9" orientation="landscape" r:id="rId1"/>
  <headerFooter>
    <oddHeader>&amp;CPILP-laskin 2018 
lämpöhäviöiden tasauslaskentaa varten&amp;R&amp;D, &amp;T</oddHeader>
  </headerFooter>
  <drawing r:id="rId2"/>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400-000000000000}">
  <sheetPr codeName="Chart7"/>
  <sheetViews>
    <sheetView zoomScale="110" workbookViewId="0"/>
  </sheetViews>
  <sheetProtection password="94B5" content="1" objects="1"/>
  <pageMargins left="0.70866141732283472" right="0.70866141732283472" top="0.74803149606299213" bottom="0.74803149606299213" header="0.31496062992125984" footer="0.31496062992125984"/>
  <pageSetup paperSize="9" orientation="landscape" r:id="rId1"/>
  <headerFooter>
    <oddHeader>&amp;CPILP-laskin 2018 
lämpöhäviöiden tasauslaskentaa varten&amp;R&amp;D, &amp;T</oddHeader>
  </headerFooter>
  <drawing r:id="rId2"/>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500-000000000000}">
  <sheetPr codeName="Chart9"/>
  <sheetViews>
    <sheetView zoomScale="110" workbookViewId="0"/>
  </sheetViews>
  <sheetProtection password="94B5" content="1" objects="1"/>
  <pageMargins left="0.70866141732283472" right="0.70866141732283472" top="0.74803149606299213" bottom="0.74803149606299213" header="0.31496062992125984" footer="0.31496062992125984"/>
  <pageSetup paperSize="9" orientation="landscape" r:id="rId1"/>
  <headerFooter>
    <oddHeader>&amp;CPILP-laskin 2018 
lämpöhäviöiden tasauslaskentaa varten&amp;R&amp;D, &amp;T</oddHeader>
  </headerFooter>
  <drawing r:id="rId2"/>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600-000000000000}">
  <sheetPr codeName="Chart8"/>
  <sheetViews>
    <sheetView zoomScale="110" workbookViewId="0"/>
  </sheetViews>
  <sheetProtection password="94B5" content="1" objects="1"/>
  <pageMargins left="0.70866141732283472" right="0.70866141732283472" top="0.74803149606299213" bottom="0.74803149606299213" header="0.31496062992125984" footer="0.31496062992125984"/>
  <pageSetup paperSize="9" orientation="landscape" r:id="rId1"/>
  <headerFooter>
    <oddHeader>&amp;CPILP-laskin 2018 
lämpöhäviöiden tasauslaskentaa varten&amp;R&amp;D, &amp;T</oddHeader>
  </headerFooter>
  <drawing r:id="rId2"/>
</chartsheet>
</file>

<file path=xl/chartsheets/sheet6.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700-000000000000}">
  <sheetPr codeName="Chart12"/>
  <sheetViews>
    <sheetView zoomScale="110" workbookViewId="0"/>
  </sheetViews>
  <sheetProtection password="94B5" content="1" objects="1"/>
  <pageMargins left="0.70866141732283472" right="0.70866141732283472" top="0.74803149606299213" bottom="0.74803149606299213" header="0.31496062992125984" footer="0.31496062992125984"/>
  <pageSetup paperSize="9" orientation="landscape" r:id="rId1"/>
  <headerFooter>
    <oddHeader>&amp;CPILP-laskin 2018 
lämpöhäviöiden tasauslaskentaa varten&amp;R&amp;D, &amp;T</oddHeader>
  </headerFooter>
  <drawing r:id="rId2"/>
</chartsheet>
</file>

<file path=xl/ctrlProps/ctrlProp1.xml><?xml version="1.0" encoding="utf-8"?>
<formControlPr xmlns="http://schemas.microsoft.com/office/spreadsheetml/2009/9/main" objectType="Scroll" dx="19" fmlaLink="$AB$1" max="57" min="24" page="10" val="24"/>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Drop" dropLines="2" dropStyle="combo" dx="16" fmlaLink="'Hki-2012'!$BU$16" fmlaRange="'Hki-2012'!$BT$17:$BT$18" sel="2" val="0"/>
</file>

<file path=xl/ctrlProps/ctrlProp4.xml><?xml version="1.0" encoding="utf-8"?>
<formControlPr xmlns="http://schemas.microsoft.com/office/spreadsheetml/2009/9/main" objectType="Drop" dropLines="2" dropStyle="combo" dx="16" fmlaLink="'Hki-2012'!$BU$12" fmlaRange="'Hki-2012'!$BT$13:$BT$14" sel="2" val="0"/>
</file>

<file path=xl/ctrlProps/ctrlProp5.xml><?xml version="1.0" encoding="utf-8"?>
<formControlPr xmlns="http://schemas.microsoft.com/office/spreadsheetml/2009/9/main" objectType="Button" lockText="1"/>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29</xdr:col>
      <xdr:colOff>152399</xdr:colOff>
      <xdr:row>5</xdr:row>
      <xdr:rowOff>157163</xdr:rowOff>
    </xdr:from>
    <xdr:to>
      <xdr:col>29</xdr:col>
      <xdr:colOff>561974</xdr:colOff>
      <xdr:row>8</xdr:row>
      <xdr:rowOff>33338</xdr:rowOff>
    </xdr:to>
    <xdr:grpSp>
      <xdr:nvGrpSpPr>
        <xdr:cNvPr id="171453" name="Group 192">
          <a:extLst>
            <a:ext uri="{FF2B5EF4-FFF2-40B4-BE49-F238E27FC236}">
              <a16:creationId xmlns:a16="http://schemas.microsoft.com/office/drawing/2014/main" id="{00000000-0008-0000-0100-0000BD9D0200}"/>
            </a:ext>
          </a:extLst>
        </xdr:cNvPr>
        <xdr:cNvGrpSpPr>
          <a:grpSpLocks/>
        </xdr:cNvGrpSpPr>
      </xdr:nvGrpSpPr>
      <xdr:grpSpPr bwMode="auto">
        <a:xfrm>
          <a:off x="23590249" y="1001713"/>
          <a:ext cx="409575" cy="409575"/>
          <a:chOff x="2264" y="127"/>
          <a:chExt cx="61" cy="60"/>
        </a:xfrm>
      </xdr:grpSpPr>
      <xdr:sp macro="" textlink="">
        <xdr:nvSpPr>
          <xdr:cNvPr id="171473" name="Oval 183">
            <a:extLst>
              <a:ext uri="{FF2B5EF4-FFF2-40B4-BE49-F238E27FC236}">
                <a16:creationId xmlns:a16="http://schemas.microsoft.com/office/drawing/2014/main" id="{00000000-0008-0000-0100-0000D19D0200}"/>
              </a:ext>
            </a:extLst>
          </xdr:cNvPr>
          <xdr:cNvSpPr>
            <a:spLocks noChangeArrowheads="1"/>
          </xdr:cNvSpPr>
        </xdr:nvSpPr>
        <xdr:spPr bwMode="auto">
          <a:xfrm>
            <a:off x="2264" y="127"/>
            <a:ext cx="61" cy="6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171474" name="AutoShape 184">
            <a:extLst>
              <a:ext uri="{FF2B5EF4-FFF2-40B4-BE49-F238E27FC236}">
                <a16:creationId xmlns:a16="http://schemas.microsoft.com/office/drawing/2014/main" id="{00000000-0008-0000-0100-0000D29D0200}"/>
              </a:ext>
            </a:extLst>
          </xdr:cNvPr>
          <xdr:cNvSpPr>
            <a:spLocks noChangeArrowheads="1"/>
          </xdr:cNvSpPr>
        </xdr:nvSpPr>
        <xdr:spPr bwMode="auto">
          <a:xfrm rot="-5400000">
            <a:off x="2262" y="136"/>
            <a:ext cx="51" cy="44"/>
          </a:xfrm>
          <a:prstGeom prst="triangle">
            <a:avLst>
              <a:gd name="adj" fmla="val 54903"/>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grpSp>
    <xdr:clientData/>
  </xdr:twoCellAnchor>
  <xdr:twoCellAnchor>
    <xdr:from>
      <xdr:col>37</xdr:col>
      <xdr:colOff>57150</xdr:colOff>
      <xdr:row>1</xdr:row>
      <xdr:rowOff>152400</xdr:rowOff>
    </xdr:from>
    <xdr:to>
      <xdr:col>37</xdr:col>
      <xdr:colOff>466725</xdr:colOff>
      <xdr:row>4</xdr:row>
      <xdr:rowOff>57150</xdr:rowOff>
    </xdr:to>
    <xdr:grpSp>
      <xdr:nvGrpSpPr>
        <xdr:cNvPr id="171454" name="Group 193">
          <a:extLst>
            <a:ext uri="{FF2B5EF4-FFF2-40B4-BE49-F238E27FC236}">
              <a16:creationId xmlns:a16="http://schemas.microsoft.com/office/drawing/2014/main" id="{00000000-0008-0000-0100-0000BE9D0200}"/>
            </a:ext>
          </a:extLst>
        </xdr:cNvPr>
        <xdr:cNvGrpSpPr>
          <a:grpSpLocks/>
        </xdr:cNvGrpSpPr>
      </xdr:nvGrpSpPr>
      <xdr:grpSpPr bwMode="auto">
        <a:xfrm>
          <a:off x="28422600" y="323850"/>
          <a:ext cx="409575" cy="419100"/>
          <a:chOff x="2728" y="26"/>
          <a:chExt cx="61" cy="60"/>
        </a:xfrm>
      </xdr:grpSpPr>
      <xdr:sp macro="" textlink="">
        <xdr:nvSpPr>
          <xdr:cNvPr id="171471" name="Oval 185">
            <a:extLst>
              <a:ext uri="{FF2B5EF4-FFF2-40B4-BE49-F238E27FC236}">
                <a16:creationId xmlns:a16="http://schemas.microsoft.com/office/drawing/2014/main" id="{00000000-0008-0000-0100-0000CF9D0200}"/>
              </a:ext>
            </a:extLst>
          </xdr:cNvPr>
          <xdr:cNvSpPr>
            <a:spLocks noChangeArrowheads="1"/>
          </xdr:cNvSpPr>
        </xdr:nvSpPr>
        <xdr:spPr bwMode="auto">
          <a:xfrm>
            <a:off x="2728" y="26"/>
            <a:ext cx="61" cy="6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171472" name="AutoShape 186">
            <a:extLst>
              <a:ext uri="{FF2B5EF4-FFF2-40B4-BE49-F238E27FC236}">
                <a16:creationId xmlns:a16="http://schemas.microsoft.com/office/drawing/2014/main" id="{00000000-0008-0000-0100-0000D09D0200}"/>
              </a:ext>
            </a:extLst>
          </xdr:cNvPr>
          <xdr:cNvSpPr>
            <a:spLocks noChangeArrowheads="1"/>
          </xdr:cNvSpPr>
        </xdr:nvSpPr>
        <xdr:spPr bwMode="auto">
          <a:xfrm rot="-5400000">
            <a:off x="2726" y="35"/>
            <a:ext cx="51" cy="44"/>
          </a:xfrm>
          <a:prstGeom prst="triangle">
            <a:avLst>
              <a:gd name="adj" fmla="val 54903"/>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grpSp>
    <xdr:clientData/>
  </xdr:twoCellAnchor>
  <xdr:twoCellAnchor>
    <xdr:from>
      <xdr:col>35</xdr:col>
      <xdr:colOff>0</xdr:colOff>
      <xdr:row>5</xdr:row>
      <xdr:rowOff>152400</xdr:rowOff>
    </xdr:from>
    <xdr:to>
      <xdr:col>35</xdr:col>
      <xdr:colOff>400050</xdr:colOff>
      <xdr:row>8</xdr:row>
      <xdr:rowOff>47625</xdr:rowOff>
    </xdr:to>
    <xdr:grpSp>
      <xdr:nvGrpSpPr>
        <xdr:cNvPr id="171455" name="Group 194">
          <a:extLst>
            <a:ext uri="{FF2B5EF4-FFF2-40B4-BE49-F238E27FC236}">
              <a16:creationId xmlns:a16="http://schemas.microsoft.com/office/drawing/2014/main" id="{00000000-0008-0000-0100-0000BF9D0200}"/>
            </a:ext>
          </a:extLst>
        </xdr:cNvPr>
        <xdr:cNvGrpSpPr>
          <a:grpSpLocks/>
        </xdr:cNvGrpSpPr>
      </xdr:nvGrpSpPr>
      <xdr:grpSpPr bwMode="auto">
        <a:xfrm>
          <a:off x="27133550" y="996950"/>
          <a:ext cx="400050" cy="428625"/>
          <a:chOff x="2723" y="121"/>
          <a:chExt cx="61" cy="60"/>
        </a:xfrm>
      </xdr:grpSpPr>
      <xdr:sp macro="" textlink="">
        <xdr:nvSpPr>
          <xdr:cNvPr id="171469" name="Oval 187">
            <a:extLst>
              <a:ext uri="{FF2B5EF4-FFF2-40B4-BE49-F238E27FC236}">
                <a16:creationId xmlns:a16="http://schemas.microsoft.com/office/drawing/2014/main" id="{00000000-0008-0000-0100-0000CD9D0200}"/>
              </a:ext>
            </a:extLst>
          </xdr:cNvPr>
          <xdr:cNvSpPr>
            <a:spLocks noChangeArrowheads="1"/>
          </xdr:cNvSpPr>
        </xdr:nvSpPr>
        <xdr:spPr bwMode="auto">
          <a:xfrm>
            <a:off x="2723" y="121"/>
            <a:ext cx="61" cy="6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171470" name="AutoShape 188">
            <a:extLst>
              <a:ext uri="{FF2B5EF4-FFF2-40B4-BE49-F238E27FC236}">
                <a16:creationId xmlns:a16="http://schemas.microsoft.com/office/drawing/2014/main" id="{00000000-0008-0000-0100-0000CE9D0200}"/>
              </a:ext>
            </a:extLst>
          </xdr:cNvPr>
          <xdr:cNvSpPr>
            <a:spLocks noChangeArrowheads="1"/>
          </xdr:cNvSpPr>
        </xdr:nvSpPr>
        <xdr:spPr bwMode="auto">
          <a:xfrm rot="5400000">
            <a:off x="2735" y="129"/>
            <a:ext cx="51" cy="44"/>
          </a:xfrm>
          <a:prstGeom prst="triangle">
            <a:avLst>
              <a:gd name="adj" fmla="val 54903"/>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grpSp>
    <xdr:clientData/>
  </xdr:twoCellAnchor>
  <xdr:twoCellAnchor>
    <xdr:from>
      <xdr:col>29</xdr:col>
      <xdr:colOff>171450</xdr:colOff>
      <xdr:row>1</xdr:row>
      <xdr:rowOff>152400</xdr:rowOff>
    </xdr:from>
    <xdr:to>
      <xdr:col>29</xdr:col>
      <xdr:colOff>571500</xdr:colOff>
      <xdr:row>4</xdr:row>
      <xdr:rowOff>47625</xdr:rowOff>
    </xdr:to>
    <xdr:grpSp>
      <xdr:nvGrpSpPr>
        <xdr:cNvPr id="171456" name="Group 191">
          <a:extLst>
            <a:ext uri="{FF2B5EF4-FFF2-40B4-BE49-F238E27FC236}">
              <a16:creationId xmlns:a16="http://schemas.microsoft.com/office/drawing/2014/main" id="{00000000-0008-0000-0100-0000C09D0200}"/>
            </a:ext>
          </a:extLst>
        </xdr:cNvPr>
        <xdr:cNvGrpSpPr>
          <a:grpSpLocks/>
        </xdr:cNvGrpSpPr>
      </xdr:nvGrpSpPr>
      <xdr:grpSpPr bwMode="auto">
        <a:xfrm>
          <a:off x="23609300" y="323850"/>
          <a:ext cx="400050" cy="409575"/>
          <a:chOff x="2144" y="56"/>
          <a:chExt cx="61" cy="60"/>
        </a:xfrm>
      </xdr:grpSpPr>
      <xdr:sp macro="" textlink="">
        <xdr:nvSpPr>
          <xdr:cNvPr id="171467" name="Oval 189">
            <a:extLst>
              <a:ext uri="{FF2B5EF4-FFF2-40B4-BE49-F238E27FC236}">
                <a16:creationId xmlns:a16="http://schemas.microsoft.com/office/drawing/2014/main" id="{00000000-0008-0000-0100-0000CB9D0200}"/>
              </a:ext>
            </a:extLst>
          </xdr:cNvPr>
          <xdr:cNvSpPr>
            <a:spLocks noChangeArrowheads="1"/>
          </xdr:cNvSpPr>
        </xdr:nvSpPr>
        <xdr:spPr bwMode="auto">
          <a:xfrm>
            <a:off x="2144" y="56"/>
            <a:ext cx="61" cy="6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171468" name="AutoShape 190">
            <a:extLst>
              <a:ext uri="{FF2B5EF4-FFF2-40B4-BE49-F238E27FC236}">
                <a16:creationId xmlns:a16="http://schemas.microsoft.com/office/drawing/2014/main" id="{00000000-0008-0000-0100-0000CC9D0200}"/>
              </a:ext>
            </a:extLst>
          </xdr:cNvPr>
          <xdr:cNvSpPr>
            <a:spLocks noChangeArrowheads="1"/>
          </xdr:cNvSpPr>
        </xdr:nvSpPr>
        <xdr:spPr bwMode="auto">
          <a:xfrm rot="5400000">
            <a:off x="2156" y="64"/>
            <a:ext cx="51" cy="44"/>
          </a:xfrm>
          <a:prstGeom prst="triangle">
            <a:avLst>
              <a:gd name="adj" fmla="val 54903"/>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grpSp>
    <xdr:clientData/>
  </xdr:twoCellAnchor>
  <xdr:twoCellAnchor>
    <xdr:from>
      <xdr:col>36</xdr:col>
      <xdr:colOff>0</xdr:colOff>
      <xdr:row>3</xdr:row>
      <xdr:rowOff>0</xdr:rowOff>
    </xdr:from>
    <xdr:to>
      <xdr:col>37</xdr:col>
      <xdr:colOff>57150</xdr:colOff>
      <xdr:row>3</xdr:row>
      <xdr:rowOff>0</xdr:rowOff>
    </xdr:to>
    <xdr:sp macro="" textlink="">
      <xdr:nvSpPr>
        <xdr:cNvPr id="171457" name="Line 195">
          <a:extLst>
            <a:ext uri="{FF2B5EF4-FFF2-40B4-BE49-F238E27FC236}">
              <a16:creationId xmlns:a16="http://schemas.microsoft.com/office/drawing/2014/main" id="{00000000-0008-0000-0100-0000C19D0200}"/>
            </a:ext>
          </a:extLst>
        </xdr:cNvPr>
        <xdr:cNvSpPr>
          <a:spLocks noChangeShapeType="1"/>
        </xdr:cNvSpPr>
      </xdr:nvSpPr>
      <xdr:spPr bwMode="auto">
        <a:xfrm>
          <a:off x="25784175" y="514350"/>
          <a:ext cx="647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476250</xdr:colOff>
      <xdr:row>3</xdr:row>
      <xdr:rowOff>0</xdr:rowOff>
    </xdr:from>
    <xdr:to>
      <xdr:col>38</xdr:col>
      <xdr:colOff>600075</xdr:colOff>
      <xdr:row>3</xdr:row>
      <xdr:rowOff>0</xdr:rowOff>
    </xdr:to>
    <xdr:sp macro="" textlink="">
      <xdr:nvSpPr>
        <xdr:cNvPr id="171458" name="Line 196">
          <a:extLst>
            <a:ext uri="{FF2B5EF4-FFF2-40B4-BE49-F238E27FC236}">
              <a16:creationId xmlns:a16="http://schemas.microsoft.com/office/drawing/2014/main" id="{00000000-0008-0000-0100-0000C29D0200}"/>
            </a:ext>
          </a:extLst>
        </xdr:cNvPr>
        <xdr:cNvSpPr>
          <a:spLocks noChangeShapeType="1"/>
        </xdr:cNvSpPr>
      </xdr:nvSpPr>
      <xdr:spPr bwMode="auto">
        <a:xfrm>
          <a:off x="26850975" y="514350"/>
          <a:ext cx="704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type="triangle" w="med" len="med"/>
          <a:tailEnd/>
        </a:ln>
        <a:extLst>
          <a:ext uri="{909E8E84-426E-40DD-AFC4-6F175D3DCCD1}">
            <a14:hiddenFill xmlns:a14="http://schemas.microsoft.com/office/drawing/2010/main">
              <a:noFill/>
            </a14:hiddenFill>
          </a:ext>
        </a:extLst>
      </xdr:spPr>
    </xdr:sp>
    <xdr:clientData/>
  </xdr:twoCellAnchor>
  <xdr:twoCellAnchor>
    <xdr:from>
      <xdr:col>35</xdr:col>
      <xdr:colOff>428625</xdr:colOff>
      <xdr:row>7</xdr:row>
      <xdr:rowOff>0</xdr:rowOff>
    </xdr:from>
    <xdr:to>
      <xdr:col>36</xdr:col>
      <xdr:colOff>666750</xdr:colOff>
      <xdr:row>7</xdr:row>
      <xdr:rowOff>0</xdr:rowOff>
    </xdr:to>
    <xdr:sp macro="" textlink="">
      <xdr:nvSpPr>
        <xdr:cNvPr id="171459" name="Line 197">
          <a:extLst>
            <a:ext uri="{FF2B5EF4-FFF2-40B4-BE49-F238E27FC236}">
              <a16:creationId xmlns:a16="http://schemas.microsoft.com/office/drawing/2014/main" id="{00000000-0008-0000-0100-0000C39D0200}"/>
            </a:ext>
          </a:extLst>
        </xdr:cNvPr>
        <xdr:cNvSpPr>
          <a:spLocks noChangeShapeType="1"/>
        </xdr:cNvSpPr>
      </xdr:nvSpPr>
      <xdr:spPr bwMode="auto">
        <a:xfrm>
          <a:off x="25622250" y="1190625"/>
          <a:ext cx="7524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695325</xdr:colOff>
      <xdr:row>3</xdr:row>
      <xdr:rowOff>9525</xdr:rowOff>
    </xdr:from>
    <xdr:to>
      <xdr:col>29</xdr:col>
      <xdr:colOff>133350</xdr:colOff>
      <xdr:row>3</xdr:row>
      <xdr:rowOff>9525</xdr:rowOff>
    </xdr:to>
    <xdr:sp macro="" textlink="">
      <xdr:nvSpPr>
        <xdr:cNvPr id="171460" name="Line 199">
          <a:extLst>
            <a:ext uri="{FF2B5EF4-FFF2-40B4-BE49-F238E27FC236}">
              <a16:creationId xmlns:a16="http://schemas.microsoft.com/office/drawing/2014/main" id="{00000000-0008-0000-0100-0000C49D0200}"/>
            </a:ext>
          </a:extLst>
        </xdr:cNvPr>
        <xdr:cNvSpPr>
          <a:spLocks noChangeShapeType="1"/>
        </xdr:cNvSpPr>
      </xdr:nvSpPr>
      <xdr:spPr bwMode="auto">
        <a:xfrm>
          <a:off x="21059775" y="523875"/>
          <a:ext cx="723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29</xdr:col>
      <xdr:colOff>590550</xdr:colOff>
      <xdr:row>3</xdr:row>
      <xdr:rowOff>9525</xdr:rowOff>
    </xdr:from>
    <xdr:to>
      <xdr:col>30</xdr:col>
      <xdr:colOff>590550</xdr:colOff>
      <xdr:row>3</xdr:row>
      <xdr:rowOff>9525</xdr:rowOff>
    </xdr:to>
    <xdr:sp macro="" textlink="">
      <xdr:nvSpPr>
        <xdr:cNvPr id="171461" name="Line 200">
          <a:extLst>
            <a:ext uri="{FF2B5EF4-FFF2-40B4-BE49-F238E27FC236}">
              <a16:creationId xmlns:a16="http://schemas.microsoft.com/office/drawing/2014/main" id="{00000000-0008-0000-0100-0000C59D0200}"/>
            </a:ext>
          </a:extLst>
        </xdr:cNvPr>
        <xdr:cNvSpPr>
          <a:spLocks noChangeShapeType="1"/>
        </xdr:cNvSpPr>
      </xdr:nvSpPr>
      <xdr:spPr bwMode="auto">
        <a:xfrm>
          <a:off x="22240875" y="523875"/>
          <a:ext cx="590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32</xdr:col>
      <xdr:colOff>0</xdr:colOff>
      <xdr:row>3</xdr:row>
      <xdr:rowOff>0</xdr:rowOff>
    </xdr:from>
    <xdr:to>
      <xdr:col>35</xdr:col>
      <xdr:colOff>0</xdr:colOff>
      <xdr:row>7</xdr:row>
      <xdr:rowOff>9525</xdr:rowOff>
    </xdr:to>
    <xdr:sp macro="" textlink="">
      <xdr:nvSpPr>
        <xdr:cNvPr id="171462" name="Line 201">
          <a:extLst>
            <a:ext uri="{FF2B5EF4-FFF2-40B4-BE49-F238E27FC236}">
              <a16:creationId xmlns:a16="http://schemas.microsoft.com/office/drawing/2014/main" id="{00000000-0008-0000-0100-0000C69D0200}"/>
            </a:ext>
          </a:extLst>
        </xdr:cNvPr>
        <xdr:cNvSpPr>
          <a:spLocks noChangeShapeType="1"/>
        </xdr:cNvSpPr>
      </xdr:nvSpPr>
      <xdr:spPr bwMode="auto">
        <a:xfrm>
          <a:off x="23421975" y="514350"/>
          <a:ext cx="1771650" cy="685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sp>
    <xdr:clientData/>
  </xdr:twoCellAnchor>
  <xdr:twoCellAnchor>
    <xdr:from>
      <xdr:col>31</xdr:col>
      <xdr:colOff>590550</xdr:colOff>
      <xdr:row>3</xdr:row>
      <xdr:rowOff>9525</xdr:rowOff>
    </xdr:from>
    <xdr:to>
      <xdr:col>35</xdr:col>
      <xdr:colOff>0</xdr:colOff>
      <xdr:row>7</xdr:row>
      <xdr:rowOff>9525</xdr:rowOff>
    </xdr:to>
    <xdr:sp macro="" textlink="">
      <xdr:nvSpPr>
        <xdr:cNvPr id="171463" name="Line 202">
          <a:extLst>
            <a:ext uri="{FF2B5EF4-FFF2-40B4-BE49-F238E27FC236}">
              <a16:creationId xmlns:a16="http://schemas.microsoft.com/office/drawing/2014/main" id="{00000000-0008-0000-0100-0000C79D0200}"/>
            </a:ext>
          </a:extLst>
        </xdr:cNvPr>
        <xdr:cNvSpPr>
          <a:spLocks noChangeShapeType="1"/>
        </xdr:cNvSpPr>
      </xdr:nvSpPr>
      <xdr:spPr bwMode="auto">
        <a:xfrm flipH="1">
          <a:off x="23421975" y="523875"/>
          <a:ext cx="1771650" cy="676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sp>
    <xdr:clientData/>
  </xdr:twoCellAnchor>
  <xdr:twoCellAnchor>
    <xdr:from>
      <xdr:col>28</xdr:col>
      <xdr:colOff>19049</xdr:colOff>
      <xdr:row>7</xdr:row>
      <xdr:rowOff>14287</xdr:rowOff>
    </xdr:from>
    <xdr:to>
      <xdr:col>29</xdr:col>
      <xdr:colOff>142874</xdr:colOff>
      <xdr:row>7</xdr:row>
      <xdr:rowOff>14287</xdr:rowOff>
    </xdr:to>
    <xdr:sp macro="" textlink="">
      <xdr:nvSpPr>
        <xdr:cNvPr id="171464" name="Line 203">
          <a:extLst>
            <a:ext uri="{FF2B5EF4-FFF2-40B4-BE49-F238E27FC236}">
              <a16:creationId xmlns:a16="http://schemas.microsoft.com/office/drawing/2014/main" id="{00000000-0008-0000-0100-0000C89D0200}"/>
            </a:ext>
          </a:extLst>
        </xdr:cNvPr>
        <xdr:cNvSpPr>
          <a:spLocks noChangeShapeType="1"/>
        </xdr:cNvSpPr>
      </xdr:nvSpPr>
      <xdr:spPr bwMode="auto">
        <a:xfrm>
          <a:off x="21078824" y="1204912"/>
          <a:ext cx="714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type="triangle" w="med" len="med"/>
          <a:tailEnd/>
        </a:ln>
        <a:extLst>
          <a:ext uri="{909E8E84-426E-40DD-AFC4-6F175D3DCCD1}">
            <a14:hiddenFill xmlns:a14="http://schemas.microsoft.com/office/drawing/2010/main">
              <a:noFill/>
            </a14:hiddenFill>
          </a:ext>
        </a:extLst>
      </xdr:spPr>
    </xdr:sp>
    <xdr:clientData/>
  </xdr:twoCellAnchor>
  <xdr:twoCellAnchor>
    <xdr:from>
      <xdr:col>37</xdr:col>
      <xdr:colOff>647700</xdr:colOff>
      <xdr:row>7</xdr:row>
      <xdr:rowOff>9525</xdr:rowOff>
    </xdr:from>
    <xdr:to>
      <xdr:col>39</xdr:col>
      <xdr:colOff>123825</xdr:colOff>
      <xdr:row>7</xdr:row>
      <xdr:rowOff>9525</xdr:rowOff>
    </xdr:to>
    <xdr:sp macro="" textlink="">
      <xdr:nvSpPr>
        <xdr:cNvPr id="171465" name="Line 205">
          <a:extLst>
            <a:ext uri="{FF2B5EF4-FFF2-40B4-BE49-F238E27FC236}">
              <a16:creationId xmlns:a16="http://schemas.microsoft.com/office/drawing/2014/main" id="{00000000-0008-0000-0100-0000C99D0200}"/>
            </a:ext>
          </a:extLst>
        </xdr:cNvPr>
        <xdr:cNvSpPr>
          <a:spLocks noChangeShapeType="1"/>
        </xdr:cNvSpPr>
      </xdr:nvSpPr>
      <xdr:spPr bwMode="auto">
        <a:xfrm>
          <a:off x="26965275" y="1200150"/>
          <a:ext cx="714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400050</xdr:colOff>
          <xdr:row>1</xdr:row>
          <xdr:rowOff>133350</xdr:rowOff>
        </xdr:from>
        <xdr:to>
          <xdr:col>17</xdr:col>
          <xdr:colOff>514350</xdr:colOff>
          <xdr:row>5</xdr:row>
          <xdr:rowOff>69850</xdr:rowOff>
        </xdr:to>
        <xdr:sp macro="" textlink="">
          <xdr:nvSpPr>
            <xdr:cNvPr id="16444" name="Scroll Bar 60" hidden="1">
              <a:extLst>
                <a:ext uri="{63B3BB69-23CF-44E3-9099-C40C66FF867C}">
                  <a14:compatExt spid="_x0000_s16444"/>
                </a:ext>
                <a:ext uri="{FF2B5EF4-FFF2-40B4-BE49-F238E27FC236}">
                  <a16:creationId xmlns:a16="http://schemas.microsoft.com/office/drawing/2014/main" id="{00000000-0008-0000-0100-00003C4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37</xdr:col>
      <xdr:colOff>647700</xdr:colOff>
      <xdr:row>10</xdr:row>
      <xdr:rowOff>9525</xdr:rowOff>
    </xdr:from>
    <xdr:to>
      <xdr:col>39</xdr:col>
      <xdr:colOff>123825</xdr:colOff>
      <xdr:row>10</xdr:row>
      <xdr:rowOff>9525</xdr:rowOff>
    </xdr:to>
    <xdr:sp macro="" textlink="">
      <xdr:nvSpPr>
        <xdr:cNvPr id="171466" name="Line 208">
          <a:extLst>
            <a:ext uri="{FF2B5EF4-FFF2-40B4-BE49-F238E27FC236}">
              <a16:creationId xmlns:a16="http://schemas.microsoft.com/office/drawing/2014/main" id="{00000000-0008-0000-0100-0000CA9D0200}"/>
            </a:ext>
          </a:extLst>
        </xdr:cNvPr>
        <xdr:cNvSpPr>
          <a:spLocks noChangeShapeType="1"/>
        </xdr:cNvSpPr>
      </xdr:nvSpPr>
      <xdr:spPr bwMode="auto">
        <a:xfrm>
          <a:off x="26965275" y="1809750"/>
          <a:ext cx="714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29</xdr:col>
      <xdr:colOff>576263</xdr:colOff>
      <xdr:row>7</xdr:row>
      <xdr:rowOff>14287</xdr:rowOff>
    </xdr:from>
    <xdr:to>
      <xdr:col>30</xdr:col>
      <xdr:colOff>576263</xdr:colOff>
      <xdr:row>7</xdr:row>
      <xdr:rowOff>14287</xdr:rowOff>
    </xdr:to>
    <xdr:sp macro="" textlink="">
      <xdr:nvSpPr>
        <xdr:cNvPr id="25" name="Line 203">
          <a:extLst>
            <a:ext uri="{FF2B5EF4-FFF2-40B4-BE49-F238E27FC236}">
              <a16:creationId xmlns:a16="http://schemas.microsoft.com/office/drawing/2014/main" id="{00000000-0008-0000-0100-000019000000}"/>
            </a:ext>
          </a:extLst>
        </xdr:cNvPr>
        <xdr:cNvSpPr>
          <a:spLocks noChangeShapeType="1"/>
        </xdr:cNvSpPr>
      </xdr:nvSpPr>
      <xdr:spPr bwMode="auto">
        <a:xfrm>
          <a:off x="22226588" y="1204912"/>
          <a:ext cx="590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type="triangle" w="med" len="me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editAs="oneCell">
        <xdr:from>
          <xdr:col>3</xdr:col>
          <xdr:colOff>203200</xdr:colOff>
          <xdr:row>62</xdr:row>
          <xdr:rowOff>12700</xdr:rowOff>
        </xdr:from>
        <xdr:to>
          <xdr:col>3</xdr:col>
          <xdr:colOff>774700</xdr:colOff>
          <xdr:row>63</xdr:row>
          <xdr:rowOff>19050</xdr:rowOff>
        </xdr:to>
        <xdr:sp macro="" textlink="">
          <xdr:nvSpPr>
            <xdr:cNvPr id="16455" name="Button 71" hidden="1">
              <a:extLst>
                <a:ext uri="{63B3BB69-23CF-44E3-9099-C40C66FF867C}">
                  <a14:compatExt spid="_x0000_s16455"/>
                </a:ext>
                <a:ext uri="{FF2B5EF4-FFF2-40B4-BE49-F238E27FC236}">
                  <a16:creationId xmlns:a16="http://schemas.microsoft.com/office/drawing/2014/main" id="{00000000-0008-0000-0100-00004740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fi-FI" sz="1000" b="0" i="0" u="none" strike="noStrike" baseline="0">
                  <a:solidFill>
                    <a:srgbClr val="000000"/>
                  </a:solidFill>
                  <a:latin typeface="Arial"/>
                  <a:cs typeface="Arial"/>
                </a:rPr>
                <a:t>Laske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12700</xdr:colOff>
          <xdr:row>47</xdr:row>
          <xdr:rowOff>38100</xdr:rowOff>
        </xdr:from>
        <xdr:to>
          <xdr:col>1</xdr:col>
          <xdr:colOff>2876550</xdr:colOff>
          <xdr:row>47</xdr:row>
          <xdr:rowOff>247650</xdr:rowOff>
        </xdr:to>
        <xdr:sp macro="" textlink="">
          <xdr:nvSpPr>
            <xdr:cNvPr id="16456" name="Drop Down 72" hidden="1">
              <a:extLst>
                <a:ext uri="{63B3BB69-23CF-44E3-9099-C40C66FF867C}">
                  <a14:compatExt spid="_x0000_s16456"/>
                </a:ext>
                <a:ext uri="{FF2B5EF4-FFF2-40B4-BE49-F238E27FC236}">
                  <a16:creationId xmlns:a16="http://schemas.microsoft.com/office/drawing/2014/main" id="{00000000-0008-0000-0100-000048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47</xdr:row>
          <xdr:rowOff>298450</xdr:rowOff>
        </xdr:from>
        <xdr:to>
          <xdr:col>1</xdr:col>
          <xdr:colOff>2876550</xdr:colOff>
          <xdr:row>47</xdr:row>
          <xdr:rowOff>508000</xdr:rowOff>
        </xdr:to>
        <xdr:sp macro="" textlink="">
          <xdr:nvSpPr>
            <xdr:cNvPr id="16481" name="Drop Down 97" hidden="1">
              <a:extLst>
                <a:ext uri="{63B3BB69-23CF-44E3-9099-C40C66FF867C}">
                  <a14:compatExt spid="_x0000_s16481"/>
                </a:ext>
                <a:ext uri="{FF2B5EF4-FFF2-40B4-BE49-F238E27FC236}">
                  <a16:creationId xmlns:a16="http://schemas.microsoft.com/office/drawing/2014/main" id="{00000000-0008-0000-0100-000061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17</xdr:row>
          <xdr:rowOff>0</xdr:rowOff>
        </xdr:from>
        <xdr:to>
          <xdr:col>4</xdr:col>
          <xdr:colOff>781050</xdr:colOff>
          <xdr:row>18</xdr:row>
          <xdr:rowOff>19050</xdr:rowOff>
        </xdr:to>
        <xdr:sp macro="" textlink="">
          <xdr:nvSpPr>
            <xdr:cNvPr id="16490" name="Button 106" hidden="1">
              <a:extLst>
                <a:ext uri="{63B3BB69-23CF-44E3-9099-C40C66FF867C}">
                  <a14:compatExt spid="_x0000_s16490"/>
                </a:ext>
                <a:ext uri="{FF2B5EF4-FFF2-40B4-BE49-F238E27FC236}">
                  <a16:creationId xmlns:a16="http://schemas.microsoft.com/office/drawing/2014/main" id="{00000000-0008-0000-0100-00006A40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fi-FI" sz="1000" b="0" i="0" u="none" strike="noStrike" baseline="0">
                  <a:solidFill>
                    <a:srgbClr val="000000"/>
                  </a:solidFill>
                  <a:latin typeface="Arial"/>
                  <a:cs typeface="Arial"/>
                </a:rPr>
                <a:t>Hae oletusarvot</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absoluteAnchor>
    <xdr:pos x="0" y="0"/>
    <xdr:ext cx="9261764" cy="6061364"/>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absoluteAnchor>
</xdr:wsDr>
</file>

<file path=xl/drawings/drawing3.xml><?xml version="1.0" encoding="utf-8"?>
<c:userShapes xmlns:c="http://schemas.openxmlformats.org/drawingml/2006/chart">
  <cdr:relSizeAnchor xmlns:cdr="http://schemas.openxmlformats.org/drawingml/2006/chartDrawing">
    <cdr:from>
      <cdr:x>0.21541</cdr:x>
      <cdr:y>0.39224</cdr:y>
    </cdr:from>
    <cdr:to>
      <cdr:x>0.38506</cdr:x>
      <cdr:y>0.44138</cdr:y>
    </cdr:to>
    <cdr:sp macro="" textlink="'Hki-2012'!$D$84">
      <cdr:nvSpPr>
        <cdr:cNvPr id="2" name="TextBox 1"/>
        <cdr:cNvSpPr txBox="1"/>
      </cdr:nvSpPr>
      <cdr:spPr>
        <a:xfrm xmlns:a="http://schemas.openxmlformats.org/drawingml/2006/main">
          <a:off x="1999255" y="2385117"/>
          <a:ext cx="1574525" cy="298800"/>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vertOverflow="clip" wrap="square" rtlCol="0">
          <a:spAutoFit/>
        </a:bodyPr>
        <a:lstStyle xmlns:a="http://schemas.openxmlformats.org/drawingml/2006/main"/>
        <a:p xmlns:a="http://schemas.openxmlformats.org/drawingml/2006/main">
          <a:fld id="{1CF85E52-BF48-468B-87F5-173DD2422A27}" type="TxLink">
            <a:rPr lang="fi-FI" sz="1400">
              <a:solidFill>
                <a:srgbClr val="FF0000"/>
              </a:solidFill>
              <a:latin typeface="Arial" panose="020B0604020202020204" pitchFamily="34" charset="0"/>
              <a:cs typeface="Arial" panose="020B0604020202020204" pitchFamily="34" charset="0"/>
            </a:rPr>
            <a:pPr/>
            <a:t>A: 8806 kWh</a:t>
          </a:fld>
          <a:endParaRPr lang="fi-FI" sz="1400">
            <a:solidFill>
              <a:srgbClr val="FF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0.18331</cdr:x>
      <cdr:y>0.67916</cdr:y>
    </cdr:from>
    <cdr:to>
      <cdr:x>0.84332</cdr:x>
      <cdr:y>0.76225</cdr:y>
    </cdr:to>
    <cdr:sp macro="" textlink="">
      <cdr:nvSpPr>
        <cdr:cNvPr id="6" name="TextBox 1"/>
        <cdr:cNvSpPr txBox="1"/>
      </cdr:nvSpPr>
      <cdr:spPr>
        <a:xfrm xmlns:a="http://schemas.openxmlformats.org/drawingml/2006/main">
          <a:off x="1701329" y="4129809"/>
          <a:ext cx="6125659" cy="505267"/>
        </a:xfrm>
        <a:prstGeom xmlns:a="http://schemas.openxmlformats.org/drawingml/2006/main" prst="rect">
          <a:avLst/>
        </a:prstGeom>
        <a:solidFill xmlns:a="http://schemas.openxmlformats.org/drawingml/2006/main">
          <a:schemeClr val="bg1"/>
        </a:solidFill>
        <a:ln xmlns:a="http://schemas.openxmlformats.org/drawingml/2006/main">
          <a:solidFill>
            <a:srgbClr val="FF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400">
              <a:solidFill>
                <a:srgbClr val="FF0000"/>
              </a:solidFill>
              <a:latin typeface="Arial" panose="020B0604020202020204" pitchFamily="34" charset="0"/>
              <a:cs typeface="Arial" panose="020B0604020202020204" pitchFamily="34" charset="0"/>
            </a:rPr>
            <a:t>A : ilmanvaihdon lämmitystarve ilman poistoilmalämpöpumppua (PILP) ja muuta</a:t>
          </a:r>
          <a:r>
            <a:rPr lang="fi-FI" sz="1400" baseline="0">
              <a:solidFill>
                <a:srgbClr val="FF0000"/>
              </a:solidFill>
              <a:latin typeface="Arial" panose="020B0604020202020204" pitchFamily="34" charset="0"/>
              <a:cs typeface="Arial" panose="020B0604020202020204" pitchFamily="34" charset="0"/>
            </a:rPr>
            <a:t> lämmöntalteenottoa (LTO)</a:t>
          </a:r>
          <a:endParaRPr lang="fi-FI" sz="1400">
            <a:solidFill>
              <a:srgbClr val="FF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0.36648</cdr:x>
      <cdr:y>0.6067</cdr:y>
    </cdr:from>
    <cdr:to>
      <cdr:x>0.59252</cdr:x>
      <cdr:y>0.64856</cdr:y>
    </cdr:to>
    <cdr:sp macro="" textlink="">
      <cdr:nvSpPr>
        <cdr:cNvPr id="7" name="Line Callout 2 6"/>
        <cdr:cNvSpPr/>
      </cdr:nvSpPr>
      <cdr:spPr>
        <a:xfrm xmlns:a="http://schemas.openxmlformats.org/drawingml/2006/main">
          <a:off x="3401360" y="3689197"/>
          <a:ext cx="2097882" cy="254557"/>
        </a:xfrm>
        <a:prstGeom xmlns:a="http://schemas.openxmlformats.org/drawingml/2006/main" prst="borderCallout2">
          <a:avLst>
            <a:gd name="adj1" fmla="val 18750"/>
            <a:gd name="adj2" fmla="val -8333"/>
            <a:gd name="adj3" fmla="val 18750"/>
            <a:gd name="adj4" fmla="val -16667"/>
            <a:gd name="adj5" fmla="val -72715"/>
            <a:gd name="adj6" fmla="val -41546"/>
          </a:avLst>
        </a:prstGeom>
        <a:solidFill xmlns:a="http://schemas.openxmlformats.org/drawingml/2006/main">
          <a:schemeClr val="bg1"/>
        </a:solidFill>
        <a:ln xmlns:a="http://schemas.openxmlformats.org/drawingml/2006/main" w="12700">
          <a:solidFill>
            <a:schemeClr val="tx1"/>
          </a:solidFill>
          <a:tailEnd type="ova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none" lIns="91440" tIns="45720" rIns="91440" bIns="45720" numCol="1" spcCol="0" rtlCol="0" fromWordArt="0" anchor="t" anchorCtr="0" forceAA="0" compatLnSpc="1">
          <a:prstTxWarp prst="textNoShape">
            <a:avLst/>
          </a:prstTxWarp>
          <a:sp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r>
            <a:rPr lang="fi-FI" sz="1100">
              <a:solidFill>
                <a:sysClr val="windowText" lastClr="000000"/>
              </a:solidFill>
              <a:latin typeface="Arial" panose="020B0604020202020204" pitchFamily="34" charset="0"/>
              <a:cs typeface="Arial" panose="020B0604020202020204" pitchFamily="34" charset="0"/>
            </a:rPr>
            <a:t>Ulkoilman lämpötilan pysyvyys</a:t>
          </a:r>
        </a:p>
      </cdr:txBody>
    </cdr:sp>
  </cdr:relSizeAnchor>
  <cdr:relSizeAnchor xmlns:cdr="http://schemas.openxmlformats.org/drawingml/2006/chartDrawing">
    <cdr:from>
      <cdr:x>0.3173</cdr:x>
      <cdr:y>0.2631</cdr:y>
    </cdr:from>
    <cdr:to>
      <cdr:x>0.65928</cdr:x>
      <cdr:y>0.30496</cdr:y>
    </cdr:to>
    <cdr:sp macro="" textlink="">
      <cdr:nvSpPr>
        <cdr:cNvPr id="8" name="Line Callout 2 7"/>
        <cdr:cNvSpPr/>
      </cdr:nvSpPr>
      <cdr:spPr>
        <a:xfrm xmlns:a="http://schemas.openxmlformats.org/drawingml/2006/main">
          <a:off x="2944912" y="1599848"/>
          <a:ext cx="3173948" cy="254557"/>
        </a:xfrm>
        <a:prstGeom xmlns:a="http://schemas.openxmlformats.org/drawingml/2006/main" prst="borderCallout2">
          <a:avLst>
            <a:gd name="adj1" fmla="val 18750"/>
            <a:gd name="adj2" fmla="val -8333"/>
            <a:gd name="adj3" fmla="val 18750"/>
            <a:gd name="adj4" fmla="val -16667"/>
            <a:gd name="adj5" fmla="val 166376"/>
            <a:gd name="adj6" fmla="val -35802"/>
          </a:avLst>
        </a:prstGeom>
        <a:solidFill xmlns:a="http://schemas.openxmlformats.org/drawingml/2006/main">
          <a:schemeClr val="bg1"/>
        </a:solidFill>
        <a:ln xmlns:a="http://schemas.openxmlformats.org/drawingml/2006/main" w="12700">
          <a:solidFill>
            <a:schemeClr val="tx1"/>
          </a:solidFill>
          <a:tailEnd type="ova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t" anchorCtr="0" forceAA="0" compatLnSpc="1">
          <a:prstTxWarp prst="textNoShape">
            <a:avLst/>
          </a:prstTxWarp>
          <a:sp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r>
            <a:rPr lang="fi-FI" sz="1100">
              <a:solidFill>
                <a:sysClr val="windowText" lastClr="000000"/>
              </a:solidFill>
              <a:latin typeface="Arial" panose="020B0604020202020204" pitchFamily="34" charset="0"/>
              <a:cs typeface="Arial" panose="020B0604020202020204" pitchFamily="34" charset="0"/>
            </a:rPr>
            <a:t>Poistoilman lämpötila eli h</a:t>
          </a:r>
          <a:r>
            <a:rPr lang="fi-FI" sz="1100">
              <a:solidFill>
                <a:sysClr val="windowText" lastClr="000000"/>
              </a:solidFill>
              <a:effectLst/>
              <a:latin typeface="Arial" panose="020B0604020202020204" pitchFamily="34" charset="0"/>
              <a:ea typeface="+mn-ea"/>
              <a:cs typeface="Arial" panose="020B0604020202020204" pitchFamily="34" charset="0"/>
            </a:rPr>
            <a:t>uoneilman lämpötila</a:t>
          </a:r>
          <a:endParaRPr lang="fi-FI"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0.58439</cdr:x>
      <cdr:y>0.21895</cdr:y>
    </cdr:from>
    <cdr:to>
      <cdr:x>0.7195</cdr:x>
      <cdr:y>0.21895</cdr:y>
    </cdr:to>
    <cdr:cxnSp macro="">
      <cdr:nvCxnSpPr>
        <cdr:cNvPr id="9" name="Straight Arrow Connector 8">
          <a:extLst xmlns:a="http://schemas.openxmlformats.org/drawingml/2006/main">
            <a:ext uri="{FF2B5EF4-FFF2-40B4-BE49-F238E27FC236}">
              <a16:creationId xmlns:a16="http://schemas.microsoft.com/office/drawing/2014/main" id="{BE3D0349-C855-4B65-AB04-1534B9BC0881}"/>
            </a:ext>
          </a:extLst>
        </cdr:cNvPr>
        <cdr:cNvCxnSpPr/>
      </cdr:nvCxnSpPr>
      <cdr:spPr>
        <a:xfrm xmlns:a="http://schemas.openxmlformats.org/drawingml/2006/main" flipH="1">
          <a:off x="5108560" y="1280963"/>
          <a:ext cx="1181090" cy="0"/>
        </a:xfrm>
        <a:prstGeom xmlns:a="http://schemas.openxmlformats.org/drawingml/2006/main" prst="straightConnector1">
          <a:avLst/>
        </a:prstGeom>
        <a:ln xmlns:a="http://schemas.openxmlformats.org/drawingml/2006/main" w="22225">
          <a:solidFill>
            <a:schemeClr val="tx1"/>
          </a:solidFill>
          <a:tailEnd type="triangle" w="lg" len="med"/>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0.5833</cdr:x>
      <cdr:y>0.16523</cdr:y>
    </cdr:from>
    <cdr:to>
      <cdr:x>0.74783</cdr:x>
      <cdr:y>0.22546</cdr:y>
    </cdr:to>
    <cdr:sp macro="" textlink="">
      <cdr:nvSpPr>
        <cdr:cNvPr id="10" name="TextBox 2"/>
        <cdr:cNvSpPr txBox="1"/>
      </cdr:nvSpPr>
      <cdr:spPr>
        <a:xfrm xmlns:a="http://schemas.openxmlformats.org/drawingml/2006/main">
          <a:off x="5099050" y="966665"/>
          <a:ext cx="1438299" cy="35238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latin typeface="Arial" panose="020B0604020202020204" pitchFamily="34" charset="0"/>
              <a:cs typeface="Arial" panose="020B0604020202020204" pitchFamily="34" charset="0"/>
            </a:rPr>
            <a:t>Lämmityskausi</a:t>
          </a:r>
        </a:p>
      </cdr:txBody>
    </cdr:sp>
  </cdr:relSizeAnchor>
  <cdr:relSizeAnchor xmlns:cdr="http://schemas.openxmlformats.org/drawingml/2006/chartDrawing">
    <cdr:from>
      <cdr:x>0.74034</cdr:x>
      <cdr:y>0.03881</cdr:y>
    </cdr:from>
    <cdr:to>
      <cdr:x>0.9505</cdr:x>
      <cdr:y>0.1229</cdr:y>
    </cdr:to>
    <cdr:sp macro="" textlink="">
      <cdr:nvSpPr>
        <cdr:cNvPr id="11" name="TextBox 1"/>
        <cdr:cNvSpPr txBox="1"/>
      </cdr:nvSpPr>
      <cdr:spPr>
        <a:xfrm xmlns:a="http://schemas.openxmlformats.org/drawingml/2006/main">
          <a:off x="6871168" y="235994"/>
          <a:ext cx="1950529" cy="511331"/>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fi-FI" sz="1400" b="1">
              <a:solidFill>
                <a:sysClr val="windowText" lastClr="000000"/>
              </a:solidFill>
              <a:latin typeface="Arial" panose="020B0604020202020204" pitchFamily="34" charset="0"/>
              <a:cs typeface="Arial" panose="020B0604020202020204" pitchFamily="34" charset="0"/>
            </a:rPr>
            <a:t>Ilmanvaihdon lämmitystarve</a:t>
          </a:r>
        </a:p>
      </cdr:txBody>
    </cdr:sp>
  </cdr:relSizeAnchor>
  <cdr:relSizeAnchor xmlns:cdr="http://schemas.openxmlformats.org/drawingml/2006/chartDrawing">
    <cdr:from>
      <cdr:x>0.72651</cdr:x>
      <cdr:y>0.14304</cdr:y>
    </cdr:from>
    <cdr:to>
      <cdr:x>0.96371</cdr:x>
      <cdr:y>0.23529</cdr:y>
    </cdr:to>
    <cdr:sp macro="" textlink="">
      <cdr:nvSpPr>
        <cdr:cNvPr id="12" name="TextBox 1"/>
        <cdr:cNvSpPr txBox="1"/>
      </cdr:nvSpPr>
      <cdr:spPr>
        <a:xfrm xmlns:a="http://schemas.openxmlformats.org/drawingml/2006/main">
          <a:off x="6762120" y="870498"/>
          <a:ext cx="2207782" cy="561408"/>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r>
            <a:rPr lang="fi-FI" sz="800" b="0">
              <a:solidFill>
                <a:sysClr val="windowText" lastClr="000000"/>
              </a:solidFill>
              <a:latin typeface="Arial Narrow" pitchFamily="34" charset="0"/>
            </a:rPr>
            <a:t>Ohjeita:</a:t>
          </a:r>
          <a:r>
            <a:rPr lang="fi-FI" sz="800" b="0" baseline="0">
              <a:solidFill>
                <a:sysClr val="windowText" lastClr="000000"/>
              </a:solidFill>
              <a:latin typeface="Arial Narrow" pitchFamily="34" charset="0"/>
            </a:rPr>
            <a:t> Ulkoilman pysyvyyskäyrä kuvaa sitä aikaa vuodesta, jolloin ulkolämpötila on käyrältä luettua lämpötilaa alempi. Lämpötilaero kuvaa tehoa (W) ja käyrien välinen pinta-ala kuvaa energiaa (kWh).</a:t>
          </a:r>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0.00068</cdr:x>
      <cdr:y>0.96499</cdr:y>
    </cdr:from>
    <cdr:to>
      <cdr:x>0.32677</cdr:x>
      <cdr:y>0.99896</cdr:y>
    </cdr:to>
    <cdr:sp macro="" textlink="Ilmanvaihto!$A$40">
      <cdr:nvSpPr>
        <cdr:cNvPr id="13" name="TextBox 1"/>
        <cdr:cNvSpPr txBox="1"/>
      </cdr:nvSpPr>
      <cdr:spPr>
        <a:xfrm xmlns:a="http://schemas.openxmlformats.org/drawingml/2006/main">
          <a:off x="6310" y="5867873"/>
          <a:ext cx="3026449" cy="206563"/>
        </a:xfrm>
        <a:prstGeom xmlns:a="http://schemas.openxmlformats.org/drawingml/2006/main" prst="rect">
          <a:avLst/>
        </a:prstGeom>
        <a:solidFill xmlns:a="http://schemas.openxmlformats.org/drawingml/2006/main">
          <a:schemeClr val="bg1"/>
        </a:solidFill>
        <a:ln xmlns:a="http://schemas.openxmlformats.org/drawingml/2006/main">
          <a:no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4D8FCFDA-0CF8-4B1F-A84E-0E11AE79EDB9}" type="TxLink">
            <a:rPr lang="fi-FI" sz="800" b="0">
              <a:solidFill>
                <a:sysClr val="windowText" lastClr="000000"/>
              </a:solidFill>
              <a:latin typeface="Arial Narrow" pitchFamily="34" charset="0"/>
            </a:rPr>
            <a:pPr algn="l"/>
            <a:t>© Ympäristöministeriö, PILP-laskin 2018 (versio maaliskuu 2017)</a:t>
          </a:fld>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0.20826</cdr:x>
      <cdr:y>0.03592</cdr:y>
    </cdr:from>
    <cdr:to>
      <cdr:x>0.71782</cdr:x>
      <cdr:y>0.07762</cdr:y>
    </cdr:to>
    <cdr:sp macro="" textlink="'Hki-2012'!$K$21">
      <cdr:nvSpPr>
        <cdr:cNvPr id="14" name="TextBox 1"/>
        <cdr:cNvSpPr txBox="1"/>
      </cdr:nvSpPr>
      <cdr:spPr>
        <a:xfrm xmlns:a="http://schemas.openxmlformats.org/drawingml/2006/main">
          <a:off x="1932940" y="218440"/>
          <a:ext cx="4729249" cy="25353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4B20BAE-BCB7-444B-8959-AB9F9F51D59B}" type="TxLink">
            <a:rPr lang="en-US" sz="1000" b="1" i="0" u="none" strike="noStrike">
              <a:solidFill>
                <a:srgbClr val="000000"/>
              </a:solidFill>
              <a:latin typeface="Arial"/>
              <a:cs typeface="Arial"/>
            </a:rPr>
            <a:pPr/>
            <a:t>Höyrystin poistoilmassa ennen LTO:a ja lauhdutin varaajassa</a:t>
          </a:fld>
          <a:endParaRPr lang="fi-FI" sz="1000" b="1">
            <a:solidFill>
              <a:srgbClr val="FFC000"/>
            </a:solidFill>
          </a:endParaRPr>
        </a:p>
      </cdr:txBody>
    </cdr:sp>
  </cdr:relSizeAnchor>
</c:userShapes>
</file>

<file path=xl/drawings/drawing4.xml><?xml version="1.0" encoding="utf-8"?>
<xdr:wsDr xmlns:xdr="http://schemas.openxmlformats.org/drawingml/2006/spreadsheetDrawing" xmlns:a="http://schemas.openxmlformats.org/drawingml/2006/main">
  <xdr:absoluteAnchor>
    <xdr:pos x="0" y="0"/>
    <xdr:ext cx="9261764" cy="6061364"/>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c:userShapes xmlns:c="http://schemas.openxmlformats.org/drawingml/2006/chart">
  <cdr:relSizeAnchor xmlns:cdr="http://schemas.openxmlformats.org/drawingml/2006/chartDrawing">
    <cdr:from>
      <cdr:x>0.74063</cdr:x>
      <cdr:y>0.27625</cdr:y>
    </cdr:from>
    <cdr:to>
      <cdr:x>0.97352</cdr:x>
      <cdr:y>0.32926</cdr:y>
    </cdr:to>
    <cdr:sp macro="" textlink="'Hki-2012'!$D$88">
      <cdr:nvSpPr>
        <cdr:cNvPr id="4" name="TextBox 1"/>
        <cdr:cNvSpPr txBox="1"/>
      </cdr:nvSpPr>
      <cdr:spPr>
        <a:xfrm xmlns:a="http://schemas.openxmlformats.org/drawingml/2006/main">
          <a:off x="6871368" y="1678495"/>
          <a:ext cx="2160643" cy="322086"/>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8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B3DE35BE-FBDC-492B-A369-A4BAF24CCAF3}" type="TxLink">
            <a:rPr lang="fi-FI" sz="1400" b="0" i="0" u="none" strike="noStrike">
              <a:solidFill>
                <a:srgbClr val="008000"/>
              </a:solidFill>
              <a:latin typeface="Arial"/>
              <a:cs typeface="Arial"/>
            </a:rPr>
            <a:pPr/>
            <a:t>PILP: 3296 kWh</a:t>
          </a:fld>
          <a:endParaRPr lang="fi-FI" sz="1400">
            <a:solidFill>
              <a:srgbClr val="008000"/>
            </a:solidFill>
          </a:endParaRPr>
        </a:p>
      </cdr:txBody>
    </cdr:sp>
  </cdr:relSizeAnchor>
  <cdr:relSizeAnchor xmlns:cdr="http://schemas.openxmlformats.org/drawingml/2006/chartDrawing">
    <cdr:from>
      <cdr:x>0.48112</cdr:x>
      <cdr:y>0.65316</cdr:y>
    </cdr:from>
    <cdr:to>
      <cdr:x>0.96393</cdr:x>
      <cdr:y>0.79198</cdr:y>
    </cdr:to>
    <cdr:sp macro="" textlink="">
      <cdr:nvSpPr>
        <cdr:cNvPr id="8" name="TextBox 1"/>
        <cdr:cNvSpPr txBox="1"/>
      </cdr:nvSpPr>
      <cdr:spPr>
        <a:xfrm xmlns:a="http://schemas.openxmlformats.org/drawingml/2006/main">
          <a:off x="4465320" y="3971709"/>
          <a:ext cx="4481069" cy="844131"/>
        </a:xfrm>
        <a:prstGeom xmlns:a="http://schemas.openxmlformats.org/drawingml/2006/main" prst="rect">
          <a:avLst/>
        </a:prstGeom>
        <a:solidFill xmlns:a="http://schemas.openxmlformats.org/drawingml/2006/main">
          <a:schemeClr val="bg1"/>
        </a:solidFill>
        <a:ln xmlns:a="http://schemas.openxmlformats.org/drawingml/2006/main">
          <a:solidFill>
            <a:srgbClr val="00B050"/>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solidFill>
                <a:srgbClr val="00B050"/>
              </a:solidFill>
              <a:latin typeface="Arial" panose="020B0604020202020204" pitchFamily="34" charset="0"/>
              <a:cs typeface="Arial" panose="020B0604020202020204" pitchFamily="34" charset="0"/>
            </a:rPr>
            <a:t>PILP + LTO =</a:t>
          </a:r>
          <a:r>
            <a:rPr lang="fi-FI" sz="1200">
              <a:solidFill>
                <a:srgbClr val="FF0000"/>
              </a:solidFill>
              <a:latin typeface="Arial" panose="020B0604020202020204" pitchFamily="34" charset="0"/>
              <a:cs typeface="Arial" panose="020B0604020202020204" pitchFamily="34" charset="0"/>
            </a:rPr>
            <a:t> A</a:t>
          </a:r>
          <a:r>
            <a:rPr lang="fi-FI" sz="1200">
              <a:solidFill>
                <a:srgbClr val="00B050"/>
              </a:solidFill>
              <a:latin typeface="Arial" panose="020B0604020202020204" pitchFamily="34" charset="0"/>
              <a:cs typeface="Arial" panose="020B0604020202020204" pitchFamily="34" charset="0"/>
            </a:rPr>
            <a:t> </a:t>
          </a:r>
          <a:r>
            <a:rPr lang="fi-FI" sz="1200">
              <a:solidFill>
                <a:sysClr val="windowText" lastClr="000000"/>
              </a:solidFill>
              <a:latin typeface="Arial" panose="020B0604020202020204" pitchFamily="34" charset="0"/>
              <a:cs typeface="Arial" panose="020B0604020202020204" pitchFamily="34" charset="0"/>
            </a:rPr>
            <a:t>-</a:t>
          </a:r>
          <a:r>
            <a:rPr lang="fi-FI" sz="1200">
              <a:solidFill>
                <a:srgbClr val="00B050"/>
              </a:solidFill>
              <a:latin typeface="Arial" panose="020B0604020202020204" pitchFamily="34" charset="0"/>
              <a:cs typeface="Arial" panose="020B0604020202020204" pitchFamily="34" charset="0"/>
            </a:rPr>
            <a:t> </a:t>
          </a:r>
          <a:r>
            <a:rPr lang="fi-FI" sz="1200">
              <a:solidFill>
                <a:srgbClr val="7030A0"/>
              </a:solidFill>
              <a:latin typeface="Arial" panose="020B0604020202020204" pitchFamily="34" charset="0"/>
              <a:cs typeface="Arial" panose="020B0604020202020204" pitchFamily="34" charset="0"/>
            </a:rPr>
            <a:t>B</a:t>
          </a:r>
          <a:r>
            <a:rPr lang="fi-FI" sz="1200">
              <a:solidFill>
                <a:srgbClr val="00B050"/>
              </a:solidFill>
              <a:latin typeface="Arial" panose="020B0604020202020204" pitchFamily="34" charset="0"/>
              <a:cs typeface="Arial" panose="020B0604020202020204" pitchFamily="34" charset="0"/>
            </a:rPr>
            <a:t>: </a:t>
          </a:r>
          <a:r>
            <a:rPr lang="fi-FI" sz="1200" baseline="0">
              <a:solidFill>
                <a:srgbClr val="00B050"/>
              </a:solidFill>
              <a:latin typeface="Arial" panose="020B0604020202020204" pitchFamily="34" charset="0"/>
              <a:cs typeface="Arial" panose="020B0604020202020204" pitchFamily="34" charset="0"/>
            </a:rPr>
            <a:t>PILP:lla tai LTO:lla </a:t>
          </a:r>
          <a:r>
            <a:rPr lang="fi-FI" sz="1200">
              <a:solidFill>
                <a:srgbClr val="00B050"/>
              </a:solidFill>
              <a:latin typeface="Arial" panose="020B0604020202020204" pitchFamily="34" charset="0"/>
              <a:cs typeface="Arial" panose="020B0604020202020204" pitchFamily="34" charset="0"/>
            </a:rPr>
            <a:t>talteenotettu energia</a:t>
          </a:r>
        </a:p>
        <a:p xmlns:a="http://schemas.openxmlformats.org/drawingml/2006/main">
          <a:r>
            <a:rPr lang="fi-FI" sz="1200">
              <a:solidFill>
                <a:srgbClr val="00B050"/>
              </a:solidFill>
              <a:latin typeface="Arial" panose="020B0604020202020204" pitchFamily="34" charset="0"/>
              <a:cs typeface="Arial" panose="020B0604020202020204" pitchFamily="34" charset="0"/>
            </a:rPr>
            <a:t>- voidaan hyödyntää lämmityksessä</a:t>
          </a:r>
        </a:p>
        <a:p xmlns:a="http://schemas.openxmlformats.org/drawingml/2006/main">
          <a:r>
            <a:rPr lang="fi-FI" sz="1200">
              <a:solidFill>
                <a:srgbClr val="00B050"/>
              </a:solidFill>
              <a:latin typeface="Arial" panose="020B0604020202020204" pitchFamily="34" charset="0"/>
              <a:cs typeface="Arial" panose="020B0604020202020204" pitchFamily="34" charset="0"/>
            </a:rPr>
            <a:t>- LTO:n vuosihyötysuhde</a:t>
          </a:r>
          <a:r>
            <a:rPr lang="fi-FI" sz="1200" baseline="0">
              <a:solidFill>
                <a:srgbClr val="00B050"/>
              </a:solidFill>
              <a:latin typeface="Arial" panose="020B0604020202020204" pitchFamily="34" charset="0"/>
              <a:cs typeface="Arial" panose="020B0604020202020204" pitchFamily="34" charset="0"/>
            </a:rPr>
            <a:t> </a:t>
          </a:r>
          <a:r>
            <a:rPr lang="fi-FI" sz="1200">
              <a:solidFill>
                <a:srgbClr val="00B050"/>
              </a:solidFill>
              <a:latin typeface="Arial" panose="020B0604020202020204" pitchFamily="34" charset="0"/>
              <a:cs typeface="Arial" panose="020B0604020202020204" pitchFamily="34" charset="0"/>
            </a:rPr>
            <a:t>ei</a:t>
          </a:r>
          <a:r>
            <a:rPr lang="fi-FI" sz="1200" baseline="0">
              <a:solidFill>
                <a:srgbClr val="00B050"/>
              </a:solidFill>
              <a:latin typeface="Arial" panose="020B0604020202020204" pitchFamily="34" charset="0"/>
              <a:cs typeface="Arial" panose="020B0604020202020204" pitchFamily="34" charset="0"/>
            </a:rPr>
            <a:t> sisällä ulkoilmasta otettua (UILP) energiaa</a:t>
          </a:r>
          <a:endParaRPr lang="fi-FI" sz="1200">
            <a:solidFill>
              <a:srgbClr val="00B05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0.48194</cdr:x>
      <cdr:y>0.58512</cdr:y>
    </cdr:from>
    <cdr:to>
      <cdr:x>0.96215</cdr:x>
      <cdr:y>0.63605</cdr:y>
    </cdr:to>
    <cdr:sp macro="" textlink="">
      <cdr:nvSpPr>
        <cdr:cNvPr id="9" name="TextBox 1"/>
        <cdr:cNvSpPr txBox="1"/>
      </cdr:nvSpPr>
      <cdr:spPr>
        <a:xfrm xmlns:a="http://schemas.openxmlformats.org/drawingml/2006/main">
          <a:off x="4472940" y="3557974"/>
          <a:ext cx="4456928" cy="309693"/>
        </a:xfrm>
        <a:prstGeom xmlns:a="http://schemas.openxmlformats.org/drawingml/2006/main" prst="rect">
          <a:avLst/>
        </a:prstGeom>
        <a:solidFill xmlns:a="http://schemas.openxmlformats.org/drawingml/2006/main">
          <a:schemeClr val="bg1"/>
        </a:solidFill>
        <a:ln xmlns:a="http://schemas.openxmlformats.org/drawingml/2006/main">
          <a:solidFill>
            <a:srgbClr val="7030A0"/>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solidFill>
                <a:srgbClr val="7030A0"/>
              </a:solidFill>
              <a:latin typeface="Arial" panose="020B0604020202020204" pitchFamily="34" charset="0"/>
              <a:cs typeface="Arial" panose="020B0604020202020204" pitchFamily="34" charset="0"/>
            </a:rPr>
            <a:t>B: Ilmanvaihdon lämmitystarve,</a:t>
          </a:r>
          <a:r>
            <a:rPr lang="fi-FI" sz="1200" baseline="0">
              <a:solidFill>
                <a:srgbClr val="7030A0"/>
              </a:solidFill>
              <a:latin typeface="Arial" panose="020B0604020202020204" pitchFamily="34" charset="0"/>
              <a:cs typeface="Arial" panose="020B0604020202020204" pitchFamily="34" charset="0"/>
            </a:rPr>
            <a:t> kun on LTO tai PILP</a:t>
          </a:r>
          <a:endParaRPr lang="fi-FI" sz="1200">
            <a:solidFill>
              <a:srgbClr val="7030A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0.18506</cdr:x>
      <cdr:y>0.84333</cdr:y>
    </cdr:from>
    <cdr:to>
      <cdr:x>0.4111</cdr:x>
      <cdr:y>0.88519</cdr:y>
    </cdr:to>
    <cdr:sp macro="" textlink="">
      <cdr:nvSpPr>
        <cdr:cNvPr id="12" name="Line Callout 2 11"/>
        <cdr:cNvSpPr/>
      </cdr:nvSpPr>
      <cdr:spPr>
        <a:xfrm xmlns:a="http://schemas.openxmlformats.org/drawingml/2006/main">
          <a:off x="1717571" y="5128087"/>
          <a:ext cx="2097882" cy="254557"/>
        </a:xfrm>
        <a:prstGeom xmlns:a="http://schemas.openxmlformats.org/drawingml/2006/main" prst="borderCallout2">
          <a:avLst>
            <a:gd name="adj1" fmla="val 18750"/>
            <a:gd name="adj2" fmla="val -8333"/>
            <a:gd name="adj3" fmla="val 18750"/>
            <a:gd name="adj4" fmla="val -16667"/>
            <a:gd name="adj5" fmla="val -215461"/>
            <a:gd name="adj6" fmla="val -48421"/>
          </a:avLst>
        </a:prstGeom>
        <a:solidFill xmlns:a="http://schemas.openxmlformats.org/drawingml/2006/main">
          <a:schemeClr val="bg1"/>
        </a:solidFill>
        <a:ln xmlns:a="http://schemas.openxmlformats.org/drawingml/2006/main" w="12700">
          <a:solidFill>
            <a:schemeClr val="tx1"/>
          </a:solidFill>
          <a:tailEnd type="ova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none" lIns="91440" tIns="45720" rIns="91440" bIns="45720" numCol="1" spcCol="0" rtlCol="0" fromWordArt="0" anchor="t" anchorCtr="0" forceAA="0" compatLnSpc="1">
          <a:prstTxWarp prst="textNoShape">
            <a:avLst/>
          </a:prstTxWarp>
          <a:sp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r>
            <a:rPr lang="fi-FI" sz="1100">
              <a:solidFill>
                <a:sysClr val="windowText" lastClr="000000"/>
              </a:solidFill>
              <a:latin typeface="Arial" panose="020B0604020202020204" pitchFamily="34" charset="0"/>
              <a:cs typeface="Arial" panose="020B0604020202020204" pitchFamily="34" charset="0"/>
            </a:rPr>
            <a:t>Ulkoilman lämpötilan pysyvyys</a:t>
          </a:r>
        </a:p>
      </cdr:txBody>
    </cdr:sp>
  </cdr:relSizeAnchor>
  <cdr:relSizeAnchor xmlns:cdr="http://schemas.openxmlformats.org/drawingml/2006/chartDrawing">
    <cdr:from>
      <cdr:x>0.58675</cdr:x>
      <cdr:y>0.2177</cdr:y>
    </cdr:from>
    <cdr:to>
      <cdr:x>0.72183</cdr:x>
      <cdr:y>0.2177</cdr:y>
    </cdr:to>
    <cdr:cxnSp macro="">
      <cdr:nvCxnSpPr>
        <cdr:cNvPr id="13" name="Straight Arrow Connector 12">
          <a:extLst xmlns:a="http://schemas.openxmlformats.org/drawingml/2006/main">
            <a:ext uri="{FF2B5EF4-FFF2-40B4-BE49-F238E27FC236}">
              <a16:creationId xmlns:a16="http://schemas.microsoft.com/office/drawing/2014/main" id="{C38D1A50-4A6D-4DC0-A735-53E8A4B3B196}"/>
            </a:ext>
          </a:extLst>
        </cdr:cNvPr>
        <cdr:cNvCxnSpPr/>
      </cdr:nvCxnSpPr>
      <cdr:spPr>
        <a:xfrm xmlns:a="http://schemas.openxmlformats.org/drawingml/2006/main" flipH="1">
          <a:off x="5130541" y="1273636"/>
          <a:ext cx="1181090" cy="0"/>
        </a:xfrm>
        <a:prstGeom xmlns:a="http://schemas.openxmlformats.org/drawingml/2006/main" prst="straightConnector1">
          <a:avLst/>
        </a:prstGeom>
        <a:ln xmlns:a="http://schemas.openxmlformats.org/drawingml/2006/main" w="22225">
          <a:solidFill>
            <a:schemeClr val="tx1"/>
          </a:solidFill>
          <a:tailEnd type="triangle" w="lg" len="med"/>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0.58567</cdr:x>
      <cdr:y>0.16397</cdr:y>
    </cdr:from>
    <cdr:to>
      <cdr:x>0.75016</cdr:x>
      <cdr:y>0.2242</cdr:y>
    </cdr:to>
    <cdr:sp macro="" textlink="">
      <cdr:nvSpPr>
        <cdr:cNvPr id="15" name="TextBox 2"/>
        <cdr:cNvSpPr txBox="1"/>
      </cdr:nvSpPr>
      <cdr:spPr>
        <a:xfrm xmlns:a="http://schemas.openxmlformats.org/drawingml/2006/main">
          <a:off x="5121031" y="959338"/>
          <a:ext cx="1438299" cy="35238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latin typeface="Arial" panose="020B0604020202020204" pitchFamily="34" charset="0"/>
              <a:cs typeface="Arial" panose="020B0604020202020204" pitchFamily="34" charset="0"/>
            </a:rPr>
            <a:t>Lämmityskausi</a:t>
          </a:r>
        </a:p>
      </cdr:txBody>
    </cdr:sp>
  </cdr:relSizeAnchor>
  <cdr:relSizeAnchor xmlns:cdr="http://schemas.openxmlformats.org/drawingml/2006/chartDrawing">
    <cdr:from>
      <cdr:x>0.74135</cdr:x>
      <cdr:y>0.33631</cdr:y>
    </cdr:from>
    <cdr:to>
      <cdr:x>0.97343</cdr:x>
      <cdr:y>0.38932</cdr:y>
    </cdr:to>
    <cdr:sp macro="" textlink="'Hki-2012'!$D$87">
      <cdr:nvSpPr>
        <cdr:cNvPr id="16" name="TextBox 1"/>
        <cdr:cNvSpPr txBox="1"/>
      </cdr:nvSpPr>
      <cdr:spPr>
        <a:xfrm xmlns:a="http://schemas.openxmlformats.org/drawingml/2006/main">
          <a:off x="6878053" y="2043417"/>
          <a:ext cx="2153123" cy="322086"/>
        </a:xfrm>
        <a:prstGeom xmlns:a="http://schemas.openxmlformats.org/drawingml/2006/main" prst="rect">
          <a:avLst/>
        </a:prstGeom>
        <a:solidFill xmlns:a="http://schemas.openxmlformats.org/drawingml/2006/main">
          <a:sysClr val="window" lastClr="FFFFFF"/>
        </a:solidFill>
        <a:ln xmlns:a="http://schemas.openxmlformats.org/drawingml/2006/main" w="12700">
          <a:solidFill>
            <a:srgbClr val="00FF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5130FEB-BCD6-4231-8DF9-4CFB2F0E1240}" type="TxLink">
            <a:rPr lang="fi-FI" sz="1400" b="0" i="0" u="none" strike="noStrike">
              <a:solidFill>
                <a:srgbClr val="00FF00"/>
              </a:solidFill>
              <a:latin typeface="Arial"/>
              <a:cs typeface="Arial"/>
            </a:rPr>
            <a:pPr/>
            <a:t>LTO: 3053 kWh</a:t>
          </a:fld>
          <a:endParaRPr lang="fi-FI" sz="1400">
            <a:solidFill>
              <a:srgbClr val="00FF00"/>
            </a:solidFill>
          </a:endParaRPr>
        </a:p>
      </cdr:txBody>
    </cdr:sp>
  </cdr:relSizeAnchor>
  <cdr:relSizeAnchor xmlns:cdr="http://schemas.openxmlformats.org/drawingml/2006/chartDrawing">
    <cdr:from>
      <cdr:x>0.46971</cdr:x>
      <cdr:y>0.80562</cdr:y>
    </cdr:from>
    <cdr:to>
      <cdr:x>0.96291</cdr:x>
      <cdr:y>0.88761</cdr:y>
    </cdr:to>
    <cdr:sp macro="" textlink="">
      <cdr:nvSpPr>
        <cdr:cNvPr id="17" name="TextBox 1"/>
        <cdr:cNvSpPr txBox="1"/>
      </cdr:nvSpPr>
      <cdr:spPr>
        <a:xfrm xmlns:a="http://schemas.openxmlformats.org/drawingml/2006/main">
          <a:off x="4350327" y="4883156"/>
          <a:ext cx="4567918" cy="496971"/>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l-GR" sz="1200">
              <a:solidFill>
                <a:sysClr val="windowText" lastClr="000000"/>
              </a:solidFill>
              <a:latin typeface="Arial" panose="020B0604020202020204" pitchFamily="34" charset="0"/>
              <a:cs typeface="Arial" panose="020B0604020202020204" pitchFamily="34" charset="0"/>
            </a:rPr>
            <a:t>η</a:t>
          </a:r>
          <a:r>
            <a:rPr lang="fi-FI" sz="1200" baseline="-25000">
              <a:solidFill>
                <a:sysClr val="windowText" lastClr="000000"/>
              </a:solidFill>
              <a:latin typeface="Arial" panose="020B0604020202020204" pitchFamily="34" charset="0"/>
              <a:cs typeface="Arial" panose="020B0604020202020204" pitchFamily="34" charset="0"/>
            </a:rPr>
            <a:t>a</a:t>
          </a:r>
          <a:r>
            <a:rPr lang="fi-FI" sz="1200">
              <a:solidFill>
                <a:sysClr val="windowText" lastClr="000000"/>
              </a:solidFill>
              <a:latin typeface="Arial" panose="020B0604020202020204" pitchFamily="34" charset="0"/>
              <a:cs typeface="Arial" panose="020B0604020202020204" pitchFamily="34" charset="0"/>
            </a:rPr>
            <a:t> = (</a:t>
          </a:r>
          <a:r>
            <a:rPr lang="fi-FI" sz="1200">
              <a:solidFill>
                <a:srgbClr val="FF0000"/>
              </a:solidFill>
              <a:latin typeface="Arial" panose="020B0604020202020204" pitchFamily="34" charset="0"/>
              <a:cs typeface="Arial" panose="020B0604020202020204" pitchFamily="34" charset="0"/>
            </a:rPr>
            <a:t>A</a:t>
          </a:r>
          <a:r>
            <a:rPr lang="fi-FI" sz="1200">
              <a:solidFill>
                <a:srgbClr val="00B050"/>
              </a:solidFill>
              <a:latin typeface="Arial" panose="020B0604020202020204" pitchFamily="34" charset="0"/>
              <a:cs typeface="Arial" panose="020B0604020202020204" pitchFamily="34" charset="0"/>
            </a:rPr>
            <a:t> </a:t>
          </a:r>
          <a:r>
            <a:rPr lang="fi-FI" sz="1200">
              <a:solidFill>
                <a:sysClr val="windowText" lastClr="000000"/>
              </a:solidFill>
              <a:latin typeface="Arial" panose="020B0604020202020204" pitchFamily="34" charset="0"/>
              <a:cs typeface="Arial" panose="020B0604020202020204" pitchFamily="34" charset="0"/>
            </a:rPr>
            <a:t>-</a:t>
          </a:r>
          <a:r>
            <a:rPr lang="fi-FI" sz="1200">
              <a:solidFill>
                <a:srgbClr val="00B050"/>
              </a:solidFill>
              <a:latin typeface="Arial" panose="020B0604020202020204" pitchFamily="34" charset="0"/>
              <a:cs typeface="Arial" panose="020B0604020202020204" pitchFamily="34" charset="0"/>
            </a:rPr>
            <a:t> </a:t>
          </a:r>
          <a:r>
            <a:rPr lang="fi-FI" sz="1200">
              <a:solidFill>
                <a:srgbClr val="7030A0"/>
              </a:solidFill>
              <a:latin typeface="Arial" panose="020B0604020202020204" pitchFamily="34" charset="0"/>
              <a:cs typeface="Arial" panose="020B0604020202020204" pitchFamily="34" charset="0"/>
            </a:rPr>
            <a:t>B</a:t>
          </a:r>
          <a:r>
            <a:rPr lang="fi-FI" sz="1200">
              <a:solidFill>
                <a:sysClr val="windowText" lastClr="000000"/>
              </a:solidFill>
              <a:latin typeface="Arial" panose="020B0604020202020204" pitchFamily="34" charset="0"/>
              <a:cs typeface="Arial" panose="020B0604020202020204" pitchFamily="34" charset="0"/>
            </a:rPr>
            <a:t>)/</a:t>
          </a:r>
          <a:r>
            <a:rPr lang="fi-FI" sz="1200">
              <a:solidFill>
                <a:srgbClr val="FF0000"/>
              </a:solidFill>
              <a:latin typeface="Arial" panose="020B0604020202020204" pitchFamily="34" charset="0"/>
              <a:cs typeface="Arial" panose="020B0604020202020204" pitchFamily="34" charset="0"/>
            </a:rPr>
            <a:t>A</a:t>
          </a:r>
          <a:r>
            <a:rPr lang="fi-FI" sz="1200">
              <a:solidFill>
                <a:sysClr val="windowText" lastClr="000000"/>
              </a:solidFill>
              <a:latin typeface="Arial" panose="020B0604020202020204" pitchFamily="34" charset="0"/>
              <a:cs typeface="Arial" panose="020B0604020202020204" pitchFamily="34" charset="0"/>
            </a:rPr>
            <a:t>: Poistoilman lämmöntalteenoton vuosihyötysuhde</a:t>
          </a:r>
        </a:p>
        <a:p xmlns:a="http://schemas.openxmlformats.org/drawingml/2006/main">
          <a:r>
            <a:rPr lang="fi-FI" sz="1200">
              <a:solidFill>
                <a:sysClr val="windowText" lastClr="000000"/>
              </a:solidFill>
              <a:latin typeface="Arial" panose="020B0604020202020204" pitchFamily="34" charset="0"/>
              <a:cs typeface="Arial" panose="020B0604020202020204" pitchFamily="34" charset="0"/>
            </a:rPr>
            <a:t>- sisältää sekä LTO:n ja PILP:n energian</a:t>
          </a:r>
        </a:p>
      </cdr:txBody>
    </cdr:sp>
  </cdr:relSizeAnchor>
  <cdr:relSizeAnchor xmlns:cdr="http://schemas.openxmlformats.org/drawingml/2006/chartDrawing">
    <cdr:from>
      <cdr:x>0.73114</cdr:x>
      <cdr:y>0.03761</cdr:y>
    </cdr:from>
    <cdr:to>
      <cdr:x>0.9702</cdr:x>
      <cdr:y>0.09532</cdr:y>
    </cdr:to>
    <cdr:sp macro="" textlink="">
      <cdr:nvSpPr>
        <cdr:cNvPr id="18" name="TextBox 1"/>
        <cdr:cNvSpPr txBox="1"/>
      </cdr:nvSpPr>
      <cdr:spPr>
        <a:xfrm xmlns:a="http://schemas.openxmlformats.org/drawingml/2006/main">
          <a:off x="6781800" y="228497"/>
          <a:ext cx="2217420" cy="350623"/>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fi-FI" sz="1400" b="1">
              <a:effectLst/>
              <a:latin typeface="Arial" panose="020B0604020202020204" pitchFamily="34" charset="0"/>
              <a:ea typeface="+mn-ea"/>
              <a:cs typeface="Arial" panose="020B0604020202020204" pitchFamily="34" charset="0"/>
            </a:rPr>
            <a:t>Poistoilman lämpötilat</a:t>
          </a:r>
          <a:endParaRPr lang="fi-FI" sz="14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0.18506</cdr:x>
      <cdr:y>0.72517</cdr:y>
    </cdr:from>
    <cdr:to>
      <cdr:x>0.31628</cdr:x>
      <cdr:y>0.77644</cdr:y>
    </cdr:to>
    <cdr:sp macro="" textlink="'Hki-2012'!$D$89">
      <cdr:nvSpPr>
        <cdr:cNvPr id="14" name="Line Callout 2 13"/>
        <cdr:cNvSpPr/>
      </cdr:nvSpPr>
      <cdr:spPr>
        <a:xfrm xmlns:a="http://schemas.openxmlformats.org/drawingml/2006/main">
          <a:off x="1716928" y="4406094"/>
          <a:ext cx="1217418" cy="311496"/>
        </a:xfrm>
        <a:prstGeom xmlns:a="http://schemas.openxmlformats.org/drawingml/2006/main" prst="borderCallout2">
          <a:avLst>
            <a:gd name="adj1" fmla="val 18750"/>
            <a:gd name="adj2" fmla="val -8333"/>
            <a:gd name="adj3" fmla="val 18750"/>
            <a:gd name="adj4" fmla="val -16667"/>
            <a:gd name="adj5" fmla="val -28303"/>
            <a:gd name="adj6" fmla="val -80270"/>
          </a:avLst>
        </a:prstGeom>
        <a:solidFill xmlns:a="http://schemas.openxmlformats.org/drawingml/2006/main">
          <a:schemeClr val="bg1"/>
        </a:solidFill>
        <a:ln xmlns:a="http://schemas.openxmlformats.org/drawingml/2006/main" w="12700">
          <a:solidFill>
            <a:srgbClr val="7030A0"/>
          </a:solidFill>
          <a:tailEnd type="ova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rot="0" spcFirstLastPara="0" vert="horz" wrap="square" lIns="91440" tIns="45720" rIns="91440" bIns="45720" numCol="1" spcCol="0" rtlCol="0" fromWordArt="0" anchor="t" anchorCtr="0" forceAA="0" compatLnSpc="1">
          <a:prstTxWarp prst="textNoShape">
            <a:avLst/>
          </a:prstTxWarp>
          <a:spAutoFit/>
        </a:bodyP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l"/>
          <a:fld id="{442BC88E-C8ED-44C5-B372-A332BCBA87BC}" type="TxLink">
            <a:rPr lang="fi-FI" sz="1400" b="0" i="0" u="none" strike="noStrike">
              <a:solidFill>
                <a:srgbClr val="7030A0"/>
              </a:solidFill>
              <a:latin typeface="Arial"/>
              <a:cs typeface="Arial"/>
            </a:rPr>
            <a:pPr algn="l"/>
            <a:t>B: 2456 kWh</a:t>
          </a:fld>
          <a:endParaRPr lang="fi-FI" sz="1400">
            <a:solidFill>
              <a:srgbClr val="7030A0"/>
            </a:solidFill>
          </a:endParaRPr>
        </a:p>
      </cdr:txBody>
    </cdr:sp>
  </cdr:relSizeAnchor>
  <cdr:relSizeAnchor xmlns:cdr="http://schemas.openxmlformats.org/drawingml/2006/chartDrawing">
    <cdr:from>
      <cdr:x>0.72655</cdr:x>
      <cdr:y>0.1348</cdr:y>
    </cdr:from>
    <cdr:to>
      <cdr:x>0.96375</cdr:x>
      <cdr:y>0.22705</cdr:y>
    </cdr:to>
    <cdr:sp macro="" textlink="">
      <cdr:nvSpPr>
        <cdr:cNvPr id="19" name="TextBox 1"/>
        <cdr:cNvSpPr txBox="1"/>
      </cdr:nvSpPr>
      <cdr:spPr>
        <a:xfrm xmlns:a="http://schemas.openxmlformats.org/drawingml/2006/main">
          <a:off x="6762456" y="820369"/>
          <a:ext cx="2207782" cy="561408"/>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r>
            <a:rPr lang="fi-FI" sz="800" b="0">
              <a:solidFill>
                <a:sysClr val="windowText" lastClr="000000"/>
              </a:solidFill>
              <a:latin typeface="Arial Narrow" pitchFamily="34" charset="0"/>
            </a:rPr>
            <a:t>Ohjeita:</a:t>
          </a:r>
          <a:r>
            <a:rPr lang="fi-FI" sz="800" b="0" baseline="0">
              <a:solidFill>
                <a:sysClr val="windowText" lastClr="000000"/>
              </a:solidFill>
              <a:latin typeface="Arial Narrow" pitchFamily="34" charset="0"/>
            </a:rPr>
            <a:t> Ulkoilman pysyvyyskäyrä kuvaa sitä aikaa vuodesta, jolloin ulkolämpötila on käyrältä luettua lämpötilaa alempi. Lämpötilaero kuvaa tehoa (W) ja käyrien välinen pinta-ala kuvaa energiaa (kWh).</a:t>
          </a:r>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cdr:x>
      <cdr:y>0.96602</cdr:y>
    </cdr:from>
    <cdr:to>
      <cdr:x>0.32184</cdr:x>
      <cdr:y>1</cdr:y>
    </cdr:to>
    <cdr:sp macro="" textlink="Ilmanvaihto!$A$40">
      <cdr:nvSpPr>
        <cdr:cNvPr id="20" name="TextBox 1"/>
        <cdr:cNvSpPr txBox="1"/>
      </cdr:nvSpPr>
      <cdr:spPr>
        <a:xfrm xmlns:a="http://schemas.openxmlformats.org/drawingml/2006/main">
          <a:off x="0" y="5874136"/>
          <a:ext cx="2987040" cy="206624"/>
        </a:xfrm>
        <a:prstGeom xmlns:a="http://schemas.openxmlformats.org/drawingml/2006/main" prst="rect">
          <a:avLst/>
        </a:prstGeom>
        <a:solidFill xmlns:a="http://schemas.openxmlformats.org/drawingml/2006/main">
          <a:schemeClr val="bg1"/>
        </a:solidFill>
        <a:ln xmlns:a="http://schemas.openxmlformats.org/drawingml/2006/main">
          <a:no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ABB2C24A-D7E0-4A5F-BA36-6DD815F67544}" type="TxLink">
            <a:rPr lang="fi-FI" sz="800" b="0" i="0" u="none" strike="noStrike">
              <a:solidFill>
                <a:sysClr val="windowText" lastClr="000000"/>
              </a:solidFill>
              <a:latin typeface="Arial Narrow" pitchFamily="34" charset="0"/>
              <a:cs typeface="Arial"/>
            </a:rPr>
            <a:pPr algn="l"/>
            <a:t>© Ympäristöministeriö, PILP-laskin 2018 (versio maaliskuu 2017)</a:t>
          </a:fld>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0.16814</cdr:x>
      <cdr:y>0.0209</cdr:y>
    </cdr:from>
    <cdr:to>
      <cdr:x>0.67799</cdr:x>
      <cdr:y>0.06264</cdr:y>
    </cdr:to>
    <cdr:sp macro="" textlink="'Hki-2012'!$K$21">
      <cdr:nvSpPr>
        <cdr:cNvPr id="21" name="TextBox 1"/>
        <cdr:cNvSpPr txBox="1"/>
      </cdr:nvSpPr>
      <cdr:spPr>
        <a:xfrm xmlns:a="http://schemas.openxmlformats.org/drawingml/2006/main">
          <a:off x="1559560" y="127000"/>
          <a:ext cx="4729249" cy="25353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E302F79-F377-4B1E-8FBA-9329D1C0D382}" type="TxLink">
            <a:rPr lang="en-US" sz="1000" b="1" i="0" u="none" strike="noStrike">
              <a:solidFill>
                <a:srgbClr val="000000"/>
              </a:solidFill>
              <a:latin typeface="Arial"/>
              <a:cs typeface="Arial"/>
            </a:rPr>
            <a:pPr/>
            <a:t>Höyrystin poistoilmassa ennen LTO:a ja lauhdutin varaajassa</a:t>
          </a:fld>
          <a:endParaRPr lang="fi-FI" sz="1000" b="1">
            <a:solidFill>
              <a:srgbClr val="FFC000"/>
            </a:solidFill>
          </a:endParaRPr>
        </a:p>
      </cdr:txBody>
    </cdr:sp>
  </cdr:relSizeAnchor>
</c:userShapes>
</file>

<file path=xl/drawings/drawing6.xml><?xml version="1.0" encoding="utf-8"?>
<xdr:wsDr xmlns:xdr="http://schemas.openxmlformats.org/drawingml/2006/spreadsheetDrawing" xmlns:a="http://schemas.openxmlformats.org/drawingml/2006/main">
  <xdr:absoluteAnchor>
    <xdr:pos x="0" y="0"/>
    <xdr:ext cx="9261764" cy="6061364"/>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absoluteAnchor>
</xdr:wsDr>
</file>

<file path=xl/drawings/drawing7.xml><?xml version="1.0" encoding="utf-8"?>
<c:userShapes xmlns:c="http://schemas.openxmlformats.org/drawingml/2006/chart">
  <cdr:relSizeAnchor xmlns:cdr="http://schemas.openxmlformats.org/drawingml/2006/chartDrawing">
    <cdr:from>
      <cdr:x>0.73443</cdr:x>
      <cdr:y>0.70454</cdr:y>
    </cdr:from>
    <cdr:to>
      <cdr:x>0.97455</cdr:x>
      <cdr:y>0.74401</cdr:y>
    </cdr:to>
    <cdr:sp macro="" textlink="'Hki-2012'!$D$96">
      <cdr:nvSpPr>
        <cdr:cNvPr id="4" name="TextBox 3"/>
        <cdr:cNvSpPr txBox="1"/>
      </cdr:nvSpPr>
      <cdr:spPr>
        <a:xfrm xmlns:a="http://schemas.openxmlformats.org/drawingml/2006/main">
          <a:off x="6813809" y="4280748"/>
          <a:ext cx="2227758" cy="239809"/>
        </a:xfrm>
        <a:prstGeom xmlns:a="http://schemas.openxmlformats.org/drawingml/2006/main" prst="rect">
          <a:avLst/>
        </a:prstGeom>
        <a:ln xmlns:a="http://schemas.openxmlformats.org/drawingml/2006/main">
          <a:solidFill>
            <a:srgbClr val="7030A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B6DE4EE-DA15-43D6-91AD-FABD73DD2C96}" type="TxLink">
            <a:rPr lang="fi-FI" sz="1000">
              <a:solidFill>
                <a:srgbClr val="7030A0"/>
              </a:solidFill>
              <a:latin typeface="Arial" panose="020B0604020202020204" pitchFamily="34" charset="0"/>
              <a:cs typeface="Arial" panose="020B0604020202020204" pitchFamily="34" charset="0"/>
            </a:rPr>
            <a:pPr/>
            <a:t>Kompressorin sähkö: 2197 kWh</a:t>
          </a:fld>
          <a:endParaRPr lang="fi-FI" sz="1000">
            <a:solidFill>
              <a:srgbClr val="7030A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0.73473</cdr:x>
      <cdr:y>0.56845</cdr:y>
    </cdr:from>
    <cdr:to>
      <cdr:x>0.97373</cdr:x>
      <cdr:y>0.60792</cdr:y>
    </cdr:to>
    <cdr:sp macro="" textlink="'Hki-2012'!$D$98">
      <cdr:nvSpPr>
        <cdr:cNvPr id="6" name="TextBox 5"/>
        <cdr:cNvSpPr txBox="1"/>
      </cdr:nvSpPr>
      <cdr:spPr>
        <a:xfrm xmlns:a="http://schemas.openxmlformats.org/drawingml/2006/main">
          <a:off x="6816593" y="3453872"/>
          <a:ext cx="2217366"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FF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679477A-1338-47D8-8854-67AD1F22A1EC}" type="TxLink">
            <a:rPr lang="fi-FI" sz="1000">
              <a:solidFill>
                <a:srgbClr val="FF0000"/>
              </a:solidFill>
              <a:latin typeface="Arial" panose="020B0604020202020204" pitchFamily="34" charset="0"/>
              <a:cs typeface="Arial" panose="020B0604020202020204" pitchFamily="34" charset="0"/>
            </a:rPr>
            <a:pPr/>
            <a:t>Tuloilman jälkilämmitys: 2443 kWh</a:t>
          </a:fld>
          <a:endParaRPr lang="fi-FI" sz="1000">
            <a:solidFill>
              <a:srgbClr val="FF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0.73349</cdr:x>
      <cdr:y>0.50714</cdr:y>
    </cdr:from>
    <cdr:to>
      <cdr:x>0.97455</cdr:x>
      <cdr:y>0.54661</cdr:y>
    </cdr:to>
    <cdr:sp macro="" textlink="'Hki-2012'!$D$92">
      <cdr:nvSpPr>
        <cdr:cNvPr id="8" name="TextBox 7"/>
        <cdr:cNvSpPr txBox="1"/>
      </cdr:nvSpPr>
      <cdr:spPr>
        <a:xfrm xmlns:a="http://schemas.openxmlformats.org/drawingml/2006/main">
          <a:off x="6805088" y="3081356"/>
          <a:ext cx="2236479"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C0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BAD2BBD-073A-49AC-BBC3-8F2DEDF0E310}" type="TxLink">
            <a:rPr lang="fi-FI" sz="1000">
              <a:solidFill>
                <a:srgbClr val="C00000"/>
              </a:solidFill>
              <a:latin typeface="Arial" panose="020B0604020202020204" pitchFamily="34" charset="0"/>
              <a:cs typeface="Arial" panose="020B0604020202020204" pitchFamily="34" charset="0"/>
            </a:rPr>
            <a:pPr/>
            <a:t>Muu lämmitys: 9838 kWh</a:t>
          </a:fld>
          <a:endParaRPr lang="fi-FI" sz="1000">
            <a:solidFill>
              <a:srgbClr val="C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0.73487</cdr:x>
      <cdr:y>0.44522</cdr:y>
    </cdr:from>
    <cdr:to>
      <cdr:x>0.97478</cdr:x>
      <cdr:y>0.48225</cdr:y>
    </cdr:to>
    <cdr:sp macro="" textlink="'Hki-2012'!$D$91">
      <cdr:nvSpPr>
        <cdr:cNvPr id="11" name="TextBox 1"/>
        <cdr:cNvSpPr txBox="1"/>
      </cdr:nvSpPr>
      <cdr:spPr>
        <a:xfrm xmlns:a="http://schemas.openxmlformats.org/drawingml/2006/main">
          <a:off x="6817895" y="2705133"/>
          <a:ext cx="2225842" cy="224998"/>
        </a:xfrm>
        <a:prstGeom xmlns:a="http://schemas.openxmlformats.org/drawingml/2006/main" prst="rect">
          <a:avLst/>
        </a:prstGeom>
        <a:solidFill xmlns:a="http://schemas.openxmlformats.org/drawingml/2006/main">
          <a:schemeClr val="bg1"/>
        </a:solidFill>
        <a:ln xmlns:a="http://schemas.openxmlformats.org/drawingml/2006/main">
          <a:solidFill>
            <a:srgbClr val="FFC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9E16065-75FC-4D5E-96DF-385911B869B1}" type="TxLink">
            <a:rPr lang="fi-FI" sz="900" b="0">
              <a:solidFill>
                <a:srgbClr val="FFC000"/>
              </a:solidFill>
              <a:latin typeface="Arial" panose="020B0604020202020204" pitchFamily="34" charset="0"/>
              <a:cs typeface="Arial" panose="020B0604020202020204" pitchFamily="34" charset="0"/>
            </a:rPr>
            <a:pPr/>
            <a:t>Hyödynnetyt lämpökuormat: 5473 kWh</a:t>
          </a:fld>
          <a:endParaRPr lang="fi-FI" sz="900" b="0">
            <a:solidFill>
              <a:srgbClr val="FFC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0.59045</cdr:x>
      <cdr:y>0.33915</cdr:y>
    </cdr:from>
    <cdr:to>
      <cdr:x>0.72541</cdr:x>
      <cdr:y>0.33915</cdr:y>
    </cdr:to>
    <cdr:cxnSp macro="">
      <cdr:nvCxnSpPr>
        <cdr:cNvPr id="19" name="Straight Arrow Connector 18">
          <a:extLst xmlns:a="http://schemas.openxmlformats.org/drawingml/2006/main">
            <a:ext uri="{FF2B5EF4-FFF2-40B4-BE49-F238E27FC236}">
              <a16:creationId xmlns:a16="http://schemas.microsoft.com/office/drawing/2014/main" id="{3E154048-3961-489B-8602-43391F970FB0}"/>
            </a:ext>
          </a:extLst>
        </cdr:cNvPr>
        <cdr:cNvCxnSpPr/>
      </cdr:nvCxnSpPr>
      <cdr:spPr>
        <a:xfrm xmlns:a="http://schemas.openxmlformats.org/drawingml/2006/main" flipH="1">
          <a:off x="5480061" y="2062281"/>
          <a:ext cx="1252585" cy="0"/>
        </a:xfrm>
        <a:prstGeom xmlns:a="http://schemas.openxmlformats.org/drawingml/2006/main" prst="straightConnector1">
          <a:avLst/>
        </a:prstGeom>
        <a:ln xmlns:a="http://schemas.openxmlformats.org/drawingml/2006/main" w="22225">
          <a:solidFill>
            <a:schemeClr val="tx1"/>
          </a:solidFill>
          <a:tailEnd type="triangle" w="lg" len="med"/>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0.58936</cdr:x>
      <cdr:y>0.28543</cdr:y>
    </cdr:from>
    <cdr:to>
      <cdr:x>0.75371</cdr:x>
      <cdr:y>0.34566</cdr:y>
    </cdr:to>
    <cdr:sp macro="" textlink="">
      <cdr:nvSpPr>
        <cdr:cNvPr id="20" name="TextBox 2"/>
        <cdr:cNvSpPr txBox="1"/>
      </cdr:nvSpPr>
      <cdr:spPr>
        <a:xfrm xmlns:a="http://schemas.openxmlformats.org/drawingml/2006/main">
          <a:off x="5469944" y="1735622"/>
          <a:ext cx="1525359" cy="36624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t>Lämmityskausi</a:t>
          </a:r>
        </a:p>
      </cdr:txBody>
    </cdr:sp>
  </cdr:relSizeAnchor>
  <cdr:relSizeAnchor xmlns:cdr="http://schemas.openxmlformats.org/drawingml/2006/chartDrawing">
    <cdr:from>
      <cdr:x>0.73485</cdr:x>
      <cdr:y>0.77196</cdr:y>
    </cdr:from>
    <cdr:to>
      <cdr:x>0.97334</cdr:x>
      <cdr:y>0.81285</cdr:y>
    </cdr:to>
    <cdr:sp macro="" textlink="'Hki-2012'!$D$87">
      <cdr:nvSpPr>
        <cdr:cNvPr id="10" name="TextBox 1"/>
        <cdr:cNvSpPr txBox="1"/>
      </cdr:nvSpPr>
      <cdr:spPr>
        <a:xfrm xmlns:a="http://schemas.openxmlformats.org/drawingml/2006/main">
          <a:off x="6817706" y="4690388"/>
          <a:ext cx="2212662" cy="248446"/>
        </a:xfrm>
        <a:prstGeom xmlns:a="http://schemas.openxmlformats.org/drawingml/2006/main" prst="rect">
          <a:avLst/>
        </a:prstGeom>
        <a:ln xmlns:a="http://schemas.openxmlformats.org/drawingml/2006/main">
          <a:solidFill>
            <a:srgbClr val="00FF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85E083AF-D6DA-4E19-8303-8DA5B2BAEBAB}" type="TxLink">
            <a:rPr lang="fi-FI" sz="1000">
              <a:solidFill>
                <a:srgbClr val="00FF00"/>
              </a:solidFill>
              <a:latin typeface="Arial" panose="020B0604020202020204" pitchFamily="34" charset="0"/>
              <a:cs typeface="Arial" panose="020B0604020202020204" pitchFamily="34" charset="0"/>
            </a:rPr>
            <a:pPr/>
            <a:t>LTO: 3053 kWh</a:t>
          </a:fld>
          <a:endParaRPr lang="fi-FI" sz="1000">
            <a:solidFill>
              <a:srgbClr val="00FF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0.74172</cdr:x>
      <cdr:y>0.02831</cdr:y>
    </cdr:from>
    <cdr:to>
      <cdr:x>0.95189</cdr:x>
      <cdr:y>0.19173</cdr:y>
    </cdr:to>
    <cdr:sp macro="" textlink="">
      <cdr:nvSpPr>
        <cdr:cNvPr id="14" name="TextBox 1"/>
        <cdr:cNvSpPr txBox="1"/>
      </cdr:nvSpPr>
      <cdr:spPr>
        <a:xfrm xmlns:a="http://schemas.openxmlformats.org/drawingml/2006/main">
          <a:off x="6884022" y="172146"/>
          <a:ext cx="1950621" cy="993714"/>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fi-FI" sz="1400" b="1">
              <a:solidFill>
                <a:sysClr val="windowText" lastClr="000000"/>
              </a:solidFill>
              <a:latin typeface="Arial" panose="020B0604020202020204" pitchFamily="34" charset="0"/>
              <a:cs typeface="Arial" panose="020B0604020202020204" pitchFamily="34" charset="0"/>
            </a:rPr>
            <a:t>Tuloilman lämpötilat, kun PILP:n lauhdutin on tuloilmassa</a:t>
          </a:r>
        </a:p>
      </cdr:txBody>
    </cdr:sp>
  </cdr:relSizeAnchor>
  <cdr:relSizeAnchor xmlns:cdr="http://schemas.openxmlformats.org/drawingml/2006/chartDrawing">
    <cdr:from>
      <cdr:x>0.73733</cdr:x>
      <cdr:y>0.22232</cdr:y>
    </cdr:from>
    <cdr:to>
      <cdr:x>0.97453</cdr:x>
      <cdr:y>0.31457</cdr:y>
    </cdr:to>
    <cdr:sp macro="" textlink="">
      <cdr:nvSpPr>
        <cdr:cNvPr id="12" name="TextBox 1"/>
        <cdr:cNvSpPr txBox="1"/>
      </cdr:nvSpPr>
      <cdr:spPr>
        <a:xfrm xmlns:a="http://schemas.openxmlformats.org/drawingml/2006/main">
          <a:off x="6843270" y="1351900"/>
          <a:ext cx="2201491" cy="560950"/>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r>
            <a:rPr lang="fi-FI" sz="800" b="0">
              <a:solidFill>
                <a:sysClr val="windowText" lastClr="000000"/>
              </a:solidFill>
              <a:latin typeface="Arial Narrow" pitchFamily="34" charset="0"/>
            </a:rPr>
            <a:t>Ohjeita:</a:t>
          </a:r>
          <a:r>
            <a:rPr lang="fi-FI" sz="800" b="0" baseline="0">
              <a:solidFill>
                <a:sysClr val="windowText" lastClr="000000"/>
              </a:solidFill>
              <a:latin typeface="Arial Narrow" pitchFamily="34" charset="0"/>
            </a:rPr>
            <a:t> Ulkoilman pysyvyyskäyrä kuvaa sitä aikaa vuodesta, jolloin ulkolämpötila on käyrältä luettua lämpötilaa alempi. Lämpötilaero kuvaa tehoa (W) ja käyrien välinen pinta-ala kuvaa energiaa (kWh).</a:t>
          </a:r>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cdr:x>
      <cdr:y>0.96602</cdr:y>
    </cdr:from>
    <cdr:to>
      <cdr:x>0.33087</cdr:x>
      <cdr:y>1</cdr:y>
    </cdr:to>
    <cdr:sp macro="" textlink="Ilmanvaihto!$A$40">
      <cdr:nvSpPr>
        <cdr:cNvPr id="13" name="TextBox 1"/>
        <cdr:cNvSpPr txBox="1"/>
      </cdr:nvSpPr>
      <cdr:spPr>
        <a:xfrm xmlns:a="http://schemas.openxmlformats.org/drawingml/2006/main">
          <a:off x="0" y="5874136"/>
          <a:ext cx="3070860" cy="206624"/>
        </a:xfrm>
        <a:prstGeom xmlns:a="http://schemas.openxmlformats.org/drawingml/2006/main" prst="rect">
          <a:avLst/>
        </a:prstGeom>
        <a:solidFill xmlns:a="http://schemas.openxmlformats.org/drawingml/2006/main">
          <a:schemeClr val="bg1"/>
        </a:solidFill>
        <a:ln xmlns:a="http://schemas.openxmlformats.org/drawingml/2006/main">
          <a:no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7DEE91BA-8EC9-452D-B4D5-81E63AAC1E5C}" type="TxLink">
            <a:rPr lang="fi-FI" sz="800" b="0">
              <a:solidFill>
                <a:sysClr val="windowText" lastClr="000000"/>
              </a:solidFill>
              <a:latin typeface="Arial Narrow" pitchFamily="34" charset="0"/>
            </a:rPr>
            <a:pPr algn="l"/>
            <a:t>© Ympäristöministeriö, PILP-laskin 2018 (versio maaliskuu 2017)</a:t>
          </a:fld>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0.73473</cdr:x>
      <cdr:y>0.63686</cdr:y>
    </cdr:from>
    <cdr:to>
      <cdr:x>0.97334</cdr:x>
      <cdr:y>0.67633</cdr:y>
    </cdr:to>
    <cdr:sp macro="" textlink="'Hki-2012'!$D$88">
      <cdr:nvSpPr>
        <cdr:cNvPr id="15" name="TextBox 14"/>
        <cdr:cNvSpPr txBox="1"/>
      </cdr:nvSpPr>
      <cdr:spPr>
        <a:xfrm xmlns:a="http://schemas.openxmlformats.org/drawingml/2006/main">
          <a:off x="6816593" y="3869528"/>
          <a:ext cx="2213775"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8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B72AE8F-9AD2-4319-8755-E3594437C719}" type="TxLink">
            <a:rPr lang="fi-FI" sz="1000">
              <a:solidFill>
                <a:srgbClr val="008000"/>
              </a:solidFill>
              <a:latin typeface="Arial" panose="020B0604020202020204" pitchFamily="34" charset="0"/>
              <a:cs typeface="Arial" panose="020B0604020202020204" pitchFamily="34" charset="0"/>
            </a:rPr>
            <a:pPr/>
            <a:t>PILP: 3296 kWh</a:t>
          </a:fld>
          <a:endParaRPr lang="fi-FI" sz="1000">
            <a:solidFill>
              <a:srgbClr val="008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0.10424</cdr:x>
      <cdr:y>0.02255</cdr:y>
    </cdr:from>
    <cdr:to>
      <cdr:x>0.2931</cdr:x>
      <cdr:y>0.12651</cdr:y>
    </cdr:to>
    <cdr:sp macro="" textlink="'Hki-2012'!$K$21">
      <cdr:nvSpPr>
        <cdr:cNvPr id="16" name="TextBox 1"/>
        <cdr:cNvSpPr txBox="1"/>
      </cdr:nvSpPr>
      <cdr:spPr>
        <a:xfrm xmlns:a="http://schemas.openxmlformats.org/drawingml/2006/main">
          <a:off x="967469" y="137121"/>
          <a:ext cx="1752872" cy="632156"/>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FF779C9-2E58-47D9-B133-B1424BFCD725}" type="TxLink">
            <a:rPr lang="en-US" sz="1000" b="1" i="0" u="none" strike="noStrike">
              <a:solidFill>
                <a:srgbClr val="000000"/>
              </a:solidFill>
              <a:latin typeface="Arial"/>
              <a:cs typeface="Arial"/>
            </a:rPr>
            <a:pPr/>
            <a:t>Höyrystin poistoilmassa ennen LTO:a ja lauhdutin varaajassa</a:t>
          </a:fld>
          <a:endParaRPr lang="fi-FI" sz="1000" b="1">
            <a:solidFill>
              <a:srgbClr val="FFC000"/>
            </a:solidFill>
          </a:endParaRPr>
        </a:p>
      </cdr:txBody>
    </cdr:sp>
  </cdr:relSizeAnchor>
  <cdr:relSizeAnchor xmlns:cdr="http://schemas.openxmlformats.org/drawingml/2006/chartDrawing">
    <cdr:from>
      <cdr:x>0.06977</cdr:x>
      <cdr:y>0.36889</cdr:y>
    </cdr:from>
    <cdr:to>
      <cdr:x>0.95794</cdr:x>
      <cdr:y>0.61224</cdr:y>
    </cdr:to>
    <cdr:sp macro="" textlink="'Hki-2012'!$BO$5">
      <cdr:nvSpPr>
        <cdr:cNvPr id="17" name="TextBox 1"/>
        <cdr:cNvSpPr txBox="1"/>
      </cdr:nvSpPr>
      <cdr:spPr>
        <a:xfrm xmlns:a="http://schemas.openxmlformats.org/drawingml/2006/main" rot="19484566">
          <a:off x="647700" y="2244090"/>
          <a:ext cx="8245540" cy="1480361"/>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316F2E9-F95F-4823-B1E4-270893C26580}" type="TxLink">
            <a:rPr lang="en-US" sz="5400" b="0" i="0" u="none" strike="noStrike">
              <a:solidFill>
                <a:srgbClr val="000000"/>
              </a:solidFill>
              <a:latin typeface="Arial"/>
              <a:cs typeface="Arial"/>
            </a:rPr>
            <a:pPr/>
            <a:t>Lauhdutin varaajassa!</a:t>
          </a:fld>
          <a:endParaRPr lang="fi-FI" sz="5400" b="1">
            <a:solidFill>
              <a:srgbClr val="FFC000"/>
            </a:solidFill>
          </a:endParaRPr>
        </a:p>
      </cdr:txBody>
    </cdr:sp>
  </cdr:relSizeAnchor>
  <cdr:relSizeAnchor xmlns:cdr="http://schemas.openxmlformats.org/drawingml/2006/chartDrawing">
    <cdr:from>
      <cdr:x>0.73487</cdr:x>
      <cdr:y>0.37245</cdr:y>
    </cdr:from>
    <cdr:to>
      <cdr:x>0.97478</cdr:x>
      <cdr:y>0.41201</cdr:y>
    </cdr:to>
    <cdr:sp macro="" textlink="'Hki-2012'!$D$104">
      <cdr:nvSpPr>
        <cdr:cNvPr id="18" name="TextBox 1"/>
        <cdr:cNvSpPr txBox="1"/>
      </cdr:nvSpPr>
      <cdr:spPr>
        <a:xfrm xmlns:a="http://schemas.openxmlformats.org/drawingml/2006/main">
          <a:off x="6808068" y="2258024"/>
          <a:ext cx="2222602" cy="23980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3BE4120-BB73-4413-A287-C0704951AB61}" type="TxLink">
            <a:rPr lang="en-US" sz="1000" b="0" i="0" u="none" strike="noStrike">
              <a:solidFill>
                <a:srgbClr val="000000"/>
              </a:solidFill>
              <a:latin typeface="Arial"/>
              <a:cs typeface="Arial"/>
            </a:rPr>
            <a:pPr/>
            <a:t>Bruttolämmöntarve: 23858 kWh</a:t>
          </a:fld>
          <a:endParaRPr lang="fi-FI" sz="900" b="0">
            <a:solidFill>
              <a:srgbClr val="FFC000"/>
            </a:solidFill>
            <a:latin typeface="Arial" panose="020B0604020202020204" pitchFamily="34" charset="0"/>
            <a:cs typeface="Arial" panose="020B0604020202020204" pitchFamily="34" charset="0"/>
          </a:endParaRPr>
        </a:p>
      </cdr:txBody>
    </cdr:sp>
  </cdr:relSizeAnchor>
</c:userShapes>
</file>

<file path=xl/drawings/drawing8.xml><?xml version="1.0" encoding="utf-8"?>
<xdr:wsDr xmlns:xdr="http://schemas.openxmlformats.org/drawingml/2006/spreadsheetDrawing" xmlns:a="http://schemas.openxmlformats.org/drawingml/2006/main">
  <xdr:absoluteAnchor>
    <xdr:pos x="0" y="0"/>
    <xdr:ext cx="9261764" cy="6061364"/>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c:userShapes xmlns:c="http://schemas.openxmlformats.org/drawingml/2006/chart">
  <cdr:relSizeAnchor xmlns:cdr="http://schemas.openxmlformats.org/drawingml/2006/chartDrawing">
    <cdr:from>
      <cdr:x>0.73443</cdr:x>
      <cdr:y>0.70454</cdr:y>
    </cdr:from>
    <cdr:to>
      <cdr:x>0.97455</cdr:x>
      <cdr:y>0.74401</cdr:y>
    </cdr:to>
    <cdr:sp macro="" textlink="'Hki-2012'!$D$96">
      <cdr:nvSpPr>
        <cdr:cNvPr id="4" name="TextBox 3"/>
        <cdr:cNvSpPr txBox="1"/>
      </cdr:nvSpPr>
      <cdr:spPr>
        <a:xfrm xmlns:a="http://schemas.openxmlformats.org/drawingml/2006/main">
          <a:off x="6813809" y="4280748"/>
          <a:ext cx="2227758" cy="239809"/>
        </a:xfrm>
        <a:prstGeom xmlns:a="http://schemas.openxmlformats.org/drawingml/2006/main" prst="rect">
          <a:avLst/>
        </a:prstGeom>
        <a:ln xmlns:a="http://schemas.openxmlformats.org/drawingml/2006/main">
          <a:solidFill>
            <a:srgbClr val="7030A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B6DE4EE-DA15-43D6-91AD-FABD73DD2C96}" type="TxLink">
            <a:rPr lang="fi-FI" sz="1000" b="0" i="0" u="none" strike="noStrike">
              <a:solidFill>
                <a:srgbClr val="7030A0"/>
              </a:solidFill>
              <a:latin typeface="Arial" panose="020B0604020202020204" pitchFamily="34" charset="0"/>
              <a:cs typeface="Arial" panose="020B0604020202020204" pitchFamily="34" charset="0"/>
            </a:rPr>
            <a:pPr/>
            <a:t>Kompressorin sähkö: 2197 kWh</a:t>
          </a:fld>
          <a:endParaRPr lang="fi-FI" sz="1000">
            <a:solidFill>
              <a:srgbClr val="7030A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0.73473</cdr:x>
      <cdr:y>0.56845</cdr:y>
    </cdr:from>
    <cdr:to>
      <cdr:x>0.97373</cdr:x>
      <cdr:y>0.60792</cdr:y>
    </cdr:to>
    <cdr:sp macro="" textlink="'Hki-2012'!$D$98">
      <cdr:nvSpPr>
        <cdr:cNvPr id="6" name="TextBox 5"/>
        <cdr:cNvSpPr txBox="1"/>
      </cdr:nvSpPr>
      <cdr:spPr>
        <a:xfrm xmlns:a="http://schemas.openxmlformats.org/drawingml/2006/main">
          <a:off x="6816593" y="3453872"/>
          <a:ext cx="2217366"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FF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679477A-1338-47D8-8854-67AD1F22A1EC}" type="TxLink">
            <a:rPr lang="fi-FI" sz="1000" b="0" i="0" u="none" strike="noStrike">
              <a:solidFill>
                <a:srgbClr val="FF0000"/>
              </a:solidFill>
              <a:latin typeface="Arial" panose="020B0604020202020204" pitchFamily="34" charset="0"/>
              <a:cs typeface="Arial" panose="020B0604020202020204" pitchFamily="34" charset="0"/>
            </a:rPr>
            <a:pPr/>
            <a:t>Tuloilman jälkilämmitys: 2443 kWh</a:t>
          </a:fld>
          <a:endParaRPr lang="fi-FI" sz="1000">
            <a:solidFill>
              <a:srgbClr val="FF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0.73349</cdr:x>
      <cdr:y>0.50714</cdr:y>
    </cdr:from>
    <cdr:to>
      <cdr:x>0.97455</cdr:x>
      <cdr:y>0.54661</cdr:y>
    </cdr:to>
    <cdr:sp macro="" textlink="'Hki-2012'!$D$92">
      <cdr:nvSpPr>
        <cdr:cNvPr id="8" name="TextBox 7"/>
        <cdr:cNvSpPr txBox="1"/>
      </cdr:nvSpPr>
      <cdr:spPr>
        <a:xfrm xmlns:a="http://schemas.openxmlformats.org/drawingml/2006/main">
          <a:off x="6805088" y="3081356"/>
          <a:ext cx="2236479"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C0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BAD2BBD-073A-49AC-BBC3-8F2DEDF0E310}" type="TxLink">
            <a:rPr lang="fi-FI" sz="1000" b="0" i="0" u="none" strike="noStrike">
              <a:solidFill>
                <a:srgbClr val="C00000"/>
              </a:solidFill>
              <a:latin typeface="Arial" panose="020B0604020202020204" pitchFamily="34" charset="0"/>
              <a:cs typeface="Arial" panose="020B0604020202020204" pitchFamily="34" charset="0"/>
            </a:rPr>
            <a:pPr/>
            <a:t>Muu lämmitys: 9838 kWh</a:t>
          </a:fld>
          <a:endParaRPr lang="fi-FI" sz="1000">
            <a:solidFill>
              <a:srgbClr val="C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0.73487</cdr:x>
      <cdr:y>0.44522</cdr:y>
    </cdr:from>
    <cdr:to>
      <cdr:x>0.97478</cdr:x>
      <cdr:y>0.48225</cdr:y>
    </cdr:to>
    <cdr:sp macro="" textlink="'Hki-2012'!$D$91">
      <cdr:nvSpPr>
        <cdr:cNvPr id="11" name="TextBox 1"/>
        <cdr:cNvSpPr txBox="1"/>
      </cdr:nvSpPr>
      <cdr:spPr>
        <a:xfrm xmlns:a="http://schemas.openxmlformats.org/drawingml/2006/main">
          <a:off x="6817895" y="2705133"/>
          <a:ext cx="2225842" cy="224998"/>
        </a:xfrm>
        <a:prstGeom xmlns:a="http://schemas.openxmlformats.org/drawingml/2006/main" prst="rect">
          <a:avLst/>
        </a:prstGeom>
        <a:solidFill xmlns:a="http://schemas.openxmlformats.org/drawingml/2006/main">
          <a:schemeClr val="bg1"/>
        </a:solidFill>
        <a:ln xmlns:a="http://schemas.openxmlformats.org/drawingml/2006/main">
          <a:solidFill>
            <a:srgbClr val="FFC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9E16065-75FC-4D5E-96DF-385911B869B1}" type="TxLink">
            <a:rPr lang="fi-FI" sz="900" b="0" i="0" u="none" strike="noStrike">
              <a:solidFill>
                <a:srgbClr val="FFC000"/>
              </a:solidFill>
              <a:latin typeface="Arial" panose="020B0604020202020204" pitchFamily="34" charset="0"/>
              <a:cs typeface="Arial" panose="020B0604020202020204" pitchFamily="34" charset="0"/>
            </a:rPr>
            <a:pPr/>
            <a:t>Hyödynnetyt lämpökuormat: 5473 kWh</a:t>
          </a:fld>
          <a:endParaRPr lang="fi-FI" sz="900" b="0">
            <a:solidFill>
              <a:srgbClr val="FFC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0.59045</cdr:x>
      <cdr:y>0.33915</cdr:y>
    </cdr:from>
    <cdr:to>
      <cdr:x>0.72541</cdr:x>
      <cdr:y>0.33915</cdr:y>
    </cdr:to>
    <cdr:cxnSp macro="">
      <cdr:nvCxnSpPr>
        <cdr:cNvPr id="19" name="Straight Arrow Connector 18">
          <a:extLst xmlns:a="http://schemas.openxmlformats.org/drawingml/2006/main">
            <a:ext uri="{FF2B5EF4-FFF2-40B4-BE49-F238E27FC236}">
              <a16:creationId xmlns:a16="http://schemas.microsoft.com/office/drawing/2014/main" id="{AD996CC7-B294-4D47-A7CF-C6F2217952EB}"/>
            </a:ext>
          </a:extLst>
        </cdr:cNvPr>
        <cdr:cNvCxnSpPr/>
      </cdr:nvCxnSpPr>
      <cdr:spPr>
        <a:xfrm xmlns:a="http://schemas.openxmlformats.org/drawingml/2006/main" flipH="1">
          <a:off x="5480061" y="2062281"/>
          <a:ext cx="1252585" cy="0"/>
        </a:xfrm>
        <a:prstGeom xmlns:a="http://schemas.openxmlformats.org/drawingml/2006/main" prst="straightConnector1">
          <a:avLst/>
        </a:prstGeom>
        <a:ln xmlns:a="http://schemas.openxmlformats.org/drawingml/2006/main" w="22225">
          <a:solidFill>
            <a:schemeClr val="tx1"/>
          </a:solidFill>
          <a:tailEnd type="triangle" w="lg" len="med"/>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0.58936</cdr:x>
      <cdr:y>0.28543</cdr:y>
    </cdr:from>
    <cdr:to>
      <cdr:x>0.75371</cdr:x>
      <cdr:y>0.34566</cdr:y>
    </cdr:to>
    <cdr:sp macro="" textlink="">
      <cdr:nvSpPr>
        <cdr:cNvPr id="20" name="TextBox 2"/>
        <cdr:cNvSpPr txBox="1"/>
      </cdr:nvSpPr>
      <cdr:spPr>
        <a:xfrm xmlns:a="http://schemas.openxmlformats.org/drawingml/2006/main">
          <a:off x="5469944" y="1735622"/>
          <a:ext cx="1525359" cy="36624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t>Lämmityskausi</a:t>
          </a:r>
        </a:p>
      </cdr:txBody>
    </cdr:sp>
  </cdr:relSizeAnchor>
  <cdr:relSizeAnchor xmlns:cdr="http://schemas.openxmlformats.org/drawingml/2006/chartDrawing">
    <cdr:from>
      <cdr:x>0.73485</cdr:x>
      <cdr:y>0.77196</cdr:y>
    </cdr:from>
    <cdr:to>
      <cdr:x>0.97334</cdr:x>
      <cdr:y>0.81285</cdr:y>
    </cdr:to>
    <cdr:sp macro="" textlink="'Hki-2012'!$D$87">
      <cdr:nvSpPr>
        <cdr:cNvPr id="10" name="TextBox 1"/>
        <cdr:cNvSpPr txBox="1"/>
      </cdr:nvSpPr>
      <cdr:spPr>
        <a:xfrm xmlns:a="http://schemas.openxmlformats.org/drawingml/2006/main">
          <a:off x="6817706" y="4690388"/>
          <a:ext cx="2212662" cy="248446"/>
        </a:xfrm>
        <a:prstGeom xmlns:a="http://schemas.openxmlformats.org/drawingml/2006/main" prst="rect">
          <a:avLst/>
        </a:prstGeom>
        <a:ln xmlns:a="http://schemas.openxmlformats.org/drawingml/2006/main">
          <a:solidFill>
            <a:srgbClr val="00FF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85E083AF-D6DA-4E19-8303-8DA5B2BAEBAB}" type="TxLink">
            <a:rPr lang="fi-FI" sz="1000" b="0" i="0" u="none" strike="noStrike">
              <a:solidFill>
                <a:srgbClr val="00FF00"/>
              </a:solidFill>
              <a:latin typeface="Arial" panose="020B0604020202020204" pitchFamily="34" charset="0"/>
              <a:cs typeface="Arial" panose="020B0604020202020204" pitchFamily="34" charset="0"/>
            </a:rPr>
            <a:pPr/>
            <a:t>LTO: 3053 kWh</a:t>
          </a:fld>
          <a:endParaRPr lang="fi-FI" sz="1000">
            <a:solidFill>
              <a:srgbClr val="00FF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0.74172</cdr:x>
      <cdr:y>0.02831</cdr:y>
    </cdr:from>
    <cdr:to>
      <cdr:x>0.95189</cdr:x>
      <cdr:y>0.19173</cdr:y>
    </cdr:to>
    <cdr:sp macro="" textlink="">
      <cdr:nvSpPr>
        <cdr:cNvPr id="14" name="TextBox 1"/>
        <cdr:cNvSpPr txBox="1"/>
      </cdr:nvSpPr>
      <cdr:spPr>
        <a:xfrm xmlns:a="http://schemas.openxmlformats.org/drawingml/2006/main">
          <a:off x="6884022" y="172146"/>
          <a:ext cx="1950621" cy="993714"/>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fi-FI" sz="1400" b="1">
              <a:solidFill>
                <a:sysClr val="windowText" lastClr="000000"/>
              </a:solidFill>
              <a:latin typeface="Arial" panose="020B0604020202020204" pitchFamily="34" charset="0"/>
              <a:cs typeface="Arial" panose="020B0604020202020204" pitchFamily="34" charset="0"/>
            </a:rPr>
            <a:t>Tuloilman lämpötilat, kun PILP:n lauhdutin on varaajassa</a:t>
          </a:r>
        </a:p>
      </cdr:txBody>
    </cdr:sp>
  </cdr:relSizeAnchor>
  <cdr:relSizeAnchor xmlns:cdr="http://schemas.openxmlformats.org/drawingml/2006/chartDrawing">
    <cdr:from>
      <cdr:x>0.73733</cdr:x>
      <cdr:y>0.22232</cdr:y>
    </cdr:from>
    <cdr:to>
      <cdr:x>0.97453</cdr:x>
      <cdr:y>0.31457</cdr:y>
    </cdr:to>
    <cdr:sp macro="" textlink="">
      <cdr:nvSpPr>
        <cdr:cNvPr id="12" name="TextBox 1"/>
        <cdr:cNvSpPr txBox="1"/>
      </cdr:nvSpPr>
      <cdr:spPr>
        <a:xfrm xmlns:a="http://schemas.openxmlformats.org/drawingml/2006/main">
          <a:off x="6843270" y="1351900"/>
          <a:ext cx="2201491" cy="560950"/>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r>
            <a:rPr lang="fi-FI" sz="800" b="0">
              <a:solidFill>
                <a:sysClr val="windowText" lastClr="000000"/>
              </a:solidFill>
              <a:latin typeface="Arial Narrow" pitchFamily="34" charset="0"/>
            </a:rPr>
            <a:t>Ohjeita:</a:t>
          </a:r>
          <a:r>
            <a:rPr lang="fi-FI" sz="800" b="0" baseline="0">
              <a:solidFill>
                <a:sysClr val="windowText" lastClr="000000"/>
              </a:solidFill>
              <a:latin typeface="Arial Narrow" pitchFamily="34" charset="0"/>
            </a:rPr>
            <a:t> Ulkoilman pysyvyyskäyrä kuvaa sitä aikaa vuodesta, jolloin ulkolämpötila on käyrältä luettua lämpötilaa alempi. Lämpötilaero kuvaa tehoa (W) ja käyrien välinen pinta-ala kuvaa energiaa (kWh).</a:t>
          </a:r>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cdr:x>
      <cdr:y>0.96602</cdr:y>
    </cdr:from>
    <cdr:to>
      <cdr:x>0.33087</cdr:x>
      <cdr:y>1</cdr:y>
    </cdr:to>
    <cdr:sp macro="" textlink="Ilmanvaihto!$A$40">
      <cdr:nvSpPr>
        <cdr:cNvPr id="13" name="TextBox 1"/>
        <cdr:cNvSpPr txBox="1"/>
      </cdr:nvSpPr>
      <cdr:spPr>
        <a:xfrm xmlns:a="http://schemas.openxmlformats.org/drawingml/2006/main">
          <a:off x="0" y="5874136"/>
          <a:ext cx="3070860" cy="206624"/>
        </a:xfrm>
        <a:prstGeom xmlns:a="http://schemas.openxmlformats.org/drawingml/2006/main" prst="rect">
          <a:avLst/>
        </a:prstGeom>
        <a:solidFill xmlns:a="http://schemas.openxmlformats.org/drawingml/2006/main">
          <a:schemeClr val="bg1"/>
        </a:solidFill>
        <a:ln xmlns:a="http://schemas.openxmlformats.org/drawingml/2006/main">
          <a:no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7DEE91BA-8EC9-452D-B4D5-81E63AAC1E5C}" type="TxLink">
            <a:rPr lang="fi-FI" sz="800" b="0" i="0" u="none" strike="noStrike">
              <a:solidFill>
                <a:sysClr val="windowText" lastClr="000000"/>
              </a:solidFill>
              <a:latin typeface="Arial Narrow" pitchFamily="34" charset="0"/>
              <a:cs typeface="Arial"/>
            </a:rPr>
            <a:pPr algn="l"/>
            <a:t>© Ympäristöministeriö, PILP-laskin 2018 (versio maaliskuu 2017)</a:t>
          </a:fld>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0.73473</cdr:x>
      <cdr:y>0.63686</cdr:y>
    </cdr:from>
    <cdr:to>
      <cdr:x>0.97334</cdr:x>
      <cdr:y>0.67633</cdr:y>
    </cdr:to>
    <cdr:sp macro="" textlink="'Hki-2012'!$D$88">
      <cdr:nvSpPr>
        <cdr:cNvPr id="15" name="TextBox 14"/>
        <cdr:cNvSpPr txBox="1"/>
      </cdr:nvSpPr>
      <cdr:spPr>
        <a:xfrm xmlns:a="http://schemas.openxmlformats.org/drawingml/2006/main">
          <a:off x="6816593" y="3869528"/>
          <a:ext cx="2213775"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8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B72AE8F-9AD2-4319-8755-E3594437C719}" type="TxLink">
            <a:rPr lang="fi-FI" sz="1000" b="0" i="0" u="none" strike="noStrike">
              <a:solidFill>
                <a:srgbClr val="008000"/>
              </a:solidFill>
              <a:latin typeface="Arial" panose="020B0604020202020204" pitchFamily="34" charset="0"/>
              <a:cs typeface="Arial" panose="020B0604020202020204" pitchFamily="34" charset="0"/>
            </a:rPr>
            <a:pPr/>
            <a:t>PILP: 3296 kWh</a:t>
          </a:fld>
          <a:endParaRPr lang="fi-FI" sz="1000">
            <a:solidFill>
              <a:srgbClr val="008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0.10424</cdr:x>
      <cdr:y>0.02255</cdr:y>
    </cdr:from>
    <cdr:to>
      <cdr:x>0.2931</cdr:x>
      <cdr:y>0.12651</cdr:y>
    </cdr:to>
    <cdr:sp macro="" textlink="'Hki-2012'!$K$21">
      <cdr:nvSpPr>
        <cdr:cNvPr id="16" name="TextBox 1"/>
        <cdr:cNvSpPr txBox="1"/>
      </cdr:nvSpPr>
      <cdr:spPr>
        <a:xfrm xmlns:a="http://schemas.openxmlformats.org/drawingml/2006/main">
          <a:off x="967469" y="137121"/>
          <a:ext cx="1752872" cy="632156"/>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FF779C9-2E58-47D9-B133-B1424BFCD725}" type="TxLink">
            <a:rPr lang="en-US" sz="1000" b="1" i="0" u="none" strike="noStrike">
              <a:solidFill>
                <a:srgbClr val="000000"/>
              </a:solidFill>
              <a:latin typeface="Arial"/>
              <a:cs typeface="Arial"/>
            </a:rPr>
            <a:pPr/>
            <a:t>Höyrystin poistoilmassa ennen LTO:a ja lauhdutin varaajassa</a:t>
          </a:fld>
          <a:endParaRPr lang="fi-FI" sz="1000" b="1">
            <a:solidFill>
              <a:srgbClr val="FFC000"/>
            </a:solidFill>
          </a:endParaRPr>
        </a:p>
      </cdr:txBody>
    </cdr:sp>
  </cdr:relSizeAnchor>
  <cdr:relSizeAnchor xmlns:cdr="http://schemas.openxmlformats.org/drawingml/2006/chartDrawing">
    <cdr:from>
      <cdr:x>0.06977</cdr:x>
      <cdr:y>0.36889</cdr:y>
    </cdr:from>
    <cdr:to>
      <cdr:x>0.95794</cdr:x>
      <cdr:y>0.61224</cdr:y>
    </cdr:to>
    <cdr:sp macro="" textlink="'Hki-2012'!$BO$6">
      <cdr:nvSpPr>
        <cdr:cNvPr id="17" name="TextBox 1"/>
        <cdr:cNvSpPr txBox="1"/>
      </cdr:nvSpPr>
      <cdr:spPr>
        <a:xfrm xmlns:a="http://schemas.openxmlformats.org/drawingml/2006/main" rot="19484566">
          <a:off x="647700" y="2244090"/>
          <a:ext cx="8245540" cy="1480361"/>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85ACE09-757E-4272-8E90-E4AFD2922E9B}" type="TxLink">
            <a:rPr lang="en-US" sz="5400" b="0" i="0" u="none" strike="noStrike">
              <a:solidFill>
                <a:srgbClr val="000000"/>
              </a:solidFill>
              <a:latin typeface="Arial"/>
              <a:cs typeface="Arial"/>
            </a:rPr>
            <a:pPr/>
            <a:t> </a:t>
          </a:fld>
          <a:endParaRPr lang="fi-FI" sz="5400" b="1">
            <a:solidFill>
              <a:srgbClr val="FFC000"/>
            </a:solidFill>
          </a:endParaRPr>
        </a:p>
      </cdr:txBody>
    </cdr:sp>
  </cdr:relSizeAnchor>
  <cdr:relSizeAnchor xmlns:cdr="http://schemas.openxmlformats.org/drawingml/2006/chartDrawing">
    <cdr:from>
      <cdr:x>0.7342</cdr:x>
      <cdr:y>0.3645</cdr:y>
    </cdr:from>
    <cdr:to>
      <cdr:x>0.97411</cdr:x>
      <cdr:y>0.40405</cdr:y>
    </cdr:to>
    <cdr:sp macro="" textlink="'Hki-2012'!$D$104">
      <cdr:nvSpPr>
        <cdr:cNvPr id="18" name="TextBox 1"/>
        <cdr:cNvSpPr txBox="1"/>
      </cdr:nvSpPr>
      <cdr:spPr>
        <a:xfrm xmlns:a="http://schemas.openxmlformats.org/drawingml/2006/main">
          <a:off x="6801853" y="2209800"/>
          <a:ext cx="2222602" cy="23980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7A185FC-3E32-465C-8E45-BD917EFA8AFE}" type="TxLink">
            <a:rPr lang="en-US" sz="1000" b="0" i="0" u="none" strike="noStrike">
              <a:solidFill>
                <a:srgbClr val="000000"/>
              </a:solidFill>
              <a:latin typeface="Arial"/>
              <a:cs typeface="Arial"/>
            </a:rPr>
            <a:pPr/>
            <a:t>Bruttolämmöntarve: 23858 kWh</a:t>
          </a:fld>
          <a:endParaRPr lang="fi-FI" sz="900" b="0">
            <a:solidFill>
              <a:srgbClr val="FFC000"/>
            </a:solidFill>
            <a:latin typeface="Arial" panose="020B0604020202020204" pitchFamily="34" charset="0"/>
            <a:cs typeface="Arial" panose="020B0604020202020204" pitchFamily="34" charset="0"/>
          </a:endParaRPr>
        </a:p>
      </cdr:txBody>
    </cdr:sp>
  </cdr:relSizeAnchor>
</c:userShapes>
</file>

<file path=xl/drawings/drawing10.xml><?xml version="1.0" encoding="utf-8"?>
<xdr:wsDr xmlns:xdr="http://schemas.openxmlformats.org/drawingml/2006/spreadsheetDrawing" xmlns:a="http://schemas.openxmlformats.org/drawingml/2006/main">
  <xdr:absoluteAnchor>
    <xdr:pos x="0" y="0"/>
    <xdr:ext cx="9261764" cy="6061364"/>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c:userShapes xmlns:c="http://schemas.openxmlformats.org/drawingml/2006/chart">
  <cdr:relSizeAnchor xmlns:cdr="http://schemas.openxmlformats.org/drawingml/2006/chartDrawing">
    <cdr:from>
      <cdr:x>0.72816</cdr:x>
      <cdr:y>0.84197</cdr:y>
    </cdr:from>
    <cdr:to>
      <cdr:x>0.96779</cdr:x>
      <cdr:y>0.88144</cdr:y>
    </cdr:to>
    <cdr:sp macro="" textlink="'Hki-2012'!$D$96">
      <cdr:nvSpPr>
        <cdr:cNvPr id="4" name="TextBox 3"/>
        <cdr:cNvSpPr txBox="1"/>
      </cdr:nvSpPr>
      <cdr:spPr>
        <a:xfrm xmlns:a="http://schemas.openxmlformats.org/drawingml/2006/main">
          <a:off x="6755637" y="5115765"/>
          <a:ext cx="2223199" cy="239809"/>
        </a:xfrm>
        <a:prstGeom xmlns:a="http://schemas.openxmlformats.org/drawingml/2006/main" prst="rect">
          <a:avLst/>
        </a:prstGeom>
        <a:solidFill xmlns:a="http://schemas.openxmlformats.org/drawingml/2006/main">
          <a:schemeClr val="bg1"/>
        </a:solidFill>
        <a:ln xmlns:a="http://schemas.openxmlformats.org/drawingml/2006/main">
          <a:solidFill>
            <a:srgbClr val="7030A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B6DE4EE-DA15-43D6-91AD-FABD73DD2C96}" type="TxLink">
            <a:rPr lang="fi-FI" sz="1000">
              <a:solidFill>
                <a:srgbClr val="7030A0"/>
              </a:solidFill>
              <a:latin typeface="Arial" panose="020B0604020202020204" pitchFamily="34" charset="0"/>
              <a:cs typeface="Arial" panose="020B0604020202020204" pitchFamily="34" charset="0"/>
            </a:rPr>
            <a:pPr/>
            <a:t>Kompressorin sähkö: 2197 kWh</a:t>
          </a:fld>
          <a:endParaRPr lang="fi-FI" sz="1000">
            <a:solidFill>
              <a:srgbClr val="7030A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0.72842</cdr:x>
      <cdr:y>0.64388</cdr:y>
    </cdr:from>
    <cdr:to>
      <cdr:x>0.9683</cdr:x>
      <cdr:y>0.68335</cdr:y>
    </cdr:to>
    <cdr:sp macro="" textlink="'Hki-2012'!$D$92">
      <cdr:nvSpPr>
        <cdr:cNvPr id="8" name="TextBox 7"/>
        <cdr:cNvSpPr txBox="1"/>
      </cdr:nvSpPr>
      <cdr:spPr>
        <a:xfrm xmlns:a="http://schemas.openxmlformats.org/drawingml/2006/main">
          <a:off x="6758051" y="3912185"/>
          <a:ext cx="2225528"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C0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BAD2BBD-073A-49AC-BBC3-8F2DEDF0E310}" type="TxLink">
            <a:rPr lang="fi-FI" sz="1000">
              <a:solidFill>
                <a:srgbClr val="C00000"/>
              </a:solidFill>
              <a:latin typeface="Arial" panose="020B0604020202020204" pitchFamily="34" charset="0"/>
              <a:cs typeface="Arial" panose="020B0604020202020204" pitchFamily="34" charset="0"/>
            </a:rPr>
            <a:pPr/>
            <a:t>Muu lämmitys: 9838 kWh</a:t>
          </a:fld>
          <a:endParaRPr lang="fi-FI" sz="1000">
            <a:solidFill>
              <a:srgbClr val="C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0.72817</cdr:x>
      <cdr:y>0.59191</cdr:y>
    </cdr:from>
    <cdr:to>
      <cdr:x>0.96902</cdr:x>
      <cdr:y>0.62894</cdr:y>
    </cdr:to>
    <cdr:sp macro="" textlink="'Hki-2012'!$D$91">
      <cdr:nvSpPr>
        <cdr:cNvPr id="11" name="TextBox 1"/>
        <cdr:cNvSpPr txBox="1"/>
      </cdr:nvSpPr>
      <cdr:spPr>
        <a:xfrm xmlns:a="http://schemas.openxmlformats.org/drawingml/2006/main">
          <a:off x="6755732" y="3596414"/>
          <a:ext cx="2234532" cy="224998"/>
        </a:xfrm>
        <a:prstGeom xmlns:a="http://schemas.openxmlformats.org/drawingml/2006/main" prst="rect">
          <a:avLst/>
        </a:prstGeom>
        <a:solidFill xmlns:a="http://schemas.openxmlformats.org/drawingml/2006/main">
          <a:schemeClr val="bg1"/>
        </a:solidFill>
        <a:ln xmlns:a="http://schemas.openxmlformats.org/drawingml/2006/main">
          <a:solidFill>
            <a:srgbClr val="FFC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9E16065-75FC-4D5E-96DF-385911B869B1}" type="TxLink">
            <a:rPr lang="fi-FI" sz="900" b="0">
              <a:solidFill>
                <a:srgbClr val="FFC000"/>
              </a:solidFill>
              <a:latin typeface="Arial" panose="020B0604020202020204" pitchFamily="34" charset="0"/>
              <a:cs typeface="Arial" panose="020B0604020202020204" pitchFamily="34" charset="0"/>
            </a:rPr>
            <a:pPr/>
            <a:t>Hyödynnetyt lämpökuormat: 5473 kWh</a:t>
          </a:fld>
          <a:endParaRPr lang="fi-FI" sz="900" b="0">
            <a:solidFill>
              <a:srgbClr val="FFC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0.59045</cdr:x>
      <cdr:y>0.37173</cdr:y>
    </cdr:from>
    <cdr:to>
      <cdr:x>0.72541</cdr:x>
      <cdr:y>0.37173</cdr:y>
    </cdr:to>
    <cdr:cxnSp macro="">
      <cdr:nvCxnSpPr>
        <cdr:cNvPr id="19" name="Straight Arrow Connector 18">
          <a:extLst xmlns:a="http://schemas.openxmlformats.org/drawingml/2006/main">
            <a:ext uri="{FF2B5EF4-FFF2-40B4-BE49-F238E27FC236}">
              <a16:creationId xmlns:a16="http://schemas.microsoft.com/office/drawing/2014/main" id="{DD1D6E56-1983-4157-9D45-5B1022D00DAE}"/>
            </a:ext>
          </a:extLst>
        </cdr:cNvPr>
        <cdr:cNvCxnSpPr/>
      </cdr:nvCxnSpPr>
      <cdr:spPr>
        <a:xfrm xmlns:a="http://schemas.openxmlformats.org/drawingml/2006/main" flipH="1">
          <a:off x="5167175" y="2174848"/>
          <a:ext cx="1181090" cy="0"/>
        </a:xfrm>
        <a:prstGeom xmlns:a="http://schemas.openxmlformats.org/drawingml/2006/main" prst="straightConnector1">
          <a:avLst/>
        </a:prstGeom>
        <a:ln xmlns:a="http://schemas.openxmlformats.org/drawingml/2006/main" w="22225">
          <a:solidFill>
            <a:schemeClr val="tx1"/>
          </a:solidFill>
          <a:tailEnd type="triangle" w="lg" len="med"/>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0.58936</cdr:x>
      <cdr:y>0.31801</cdr:y>
    </cdr:from>
    <cdr:to>
      <cdr:x>0.72057</cdr:x>
      <cdr:y>0.36259</cdr:y>
    </cdr:to>
    <cdr:sp macro="" textlink="">
      <cdr:nvSpPr>
        <cdr:cNvPr id="20" name="TextBox 2"/>
        <cdr:cNvSpPr txBox="1"/>
      </cdr:nvSpPr>
      <cdr:spPr>
        <a:xfrm xmlns:a="http://schemas.openxmlformats.org/drawingml/2006/main">
          <a:off x="5484541" y="1932531"/>
          <a:ext cx="1221060" cy="270919"/>
        </a:xfrm>
        <a:prstGeom xmlns:a="http://schemas.openxmlformats.org/drawingml/2006/main" prst="rect">
          <a:avLst/>
        </a:prstGeom>
        <a:solidFill xmlns:a="http://schemas.openxmlformats.org/drawingml/2006/main">
          <a:sysClr val="window" lastClr="FFFFFF"/>
        </a:solidFill>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t>Lämmityskausi</a:t>
          </a:r>
        </a:p>
      </cdr:txBody>
    </cdr:sp>
  </cdr:relSizeAnchor>
  <cdr:relSizeAnchor xmlns:cdr="http://schemas.openxmlformats.org/drawingml/2006/chartDrawing">
    <cdr:from>
      <cdr:x>0.73637</cdr:x>
      <cdr:y>0.04398</cdr:y>
    </cdr:from>
    <cdr:to>
      <cdr:x>0.96266</cdr:x>
      <cdr:y>0.20296</cdr:y>
    </cdr:to>
    <cdr:sp macro="" textlink="">
      <cdr:nvSpPr>
        <cdr:cNvPr id="14" name="TextBox 1"/>
        <cdr:cNvSpPr txBox="1"/>
      </cdr:nvSpPr>
      <cdr:spPr>
        <a:xfrm xmlns:a="http://schemas.openxmlformats.org/drawingml/2006/main">
          <a:off x="6830291" y="267188"/>
          <a:ext cx="2098964" cy="965867"/>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fi-FI" sz="1400" b="1">
              <a:solidFill>
                <a:sysClr val="windowText" lastClr="000000"/>
              </a:solidFill>
              <a:latin typeface="Arial" panose="020B0604020202020204" pitchFamily="34" charset="0"/>
              <a:cs typeface="Arial" panose="020B0604020202020204" pitchFamily="34" charset="0"/>
            </a:rPr>
            <a:t>Lämmitystehot, kun</a:t>
          </a:r>
        </a:p>
        <a:p xmlns:a="http://schemas.openxmlformats.org/drawingml/2006/main">
          <a:pPr marL="0" marR="0" indent="0" algn="ctr" defTabSz="914400" eaLnBrk="1" fontAlgn="auto" latinLnBrk="0" hangingPunct="1">
            <a:lnSpc>
              <a:spcPct val="100000"/>
            </a:lnSpc>
            <a:spcBef>
              <a:spcPts val="0"/>
            </a:spcBef>
            <a:spcAft>
              <a:spcPts val="0"/>
            </a:spcAft>
            <a:buClrTx/>
            <a:buSzTx/>
            <a:buFontTx/>
            <a:buNone/>
            <a:tabLst/>
            <a:defRPr/>
          </a:pPr>
          <a:r>
            <a:rPr lang="fi-FI" sz="1400" b="1">
              <a:effectLst/>
              <a:latin typeface="Arial" panose="020B0604020202020204" pitchFamily="34" charset="0"/>
              <a:ea typeface="+mn-ea"/>
              <a:cs typeface="Arial" panose="020B0604020202020204" pitchFamily="34" charset="0"/>
            </a:rPr>
            <a:t>PILP:n lauhdutin on tuloilmassa tai varaajassa</a:t>
          </a:r>
          <a:endParaRPr lang="fi-FI" sz="1400">
            <a:effectLst/>
            <a:latin typeface="Arial" panose="020B0604020202020204" pitchFamily="34" charset="0"/>
            <a:cs typeface="Arial" panose="020B0604020202020204" pitchFamily="34" charset="0"/>
          </a:endParaRPr>
        </a:p>
        <a:p xmlns:a="http://schemas.openxmlformats.org/drawingml/2006/main">
          <a:pPr algn="ctr"/>
          <a:endParaRPr lang="fi-FI" sz="14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0.96602</cdr:y>
    </cdr:from>
    <cdr:to>
      <cdr:x>0.31773</cdr:x>
      <cdr:y>1</cdr:y>
    </cdr:to>
    <cdr:sp macro="" textlink="Ilmanvaihto!$A$40">
      <cdr:nvSpPr>
        <cdr:cNvPr id="13" name="TextBox 1"/>
        <cdr:cNvSpPr txBox="1"/>
      </cdr:nvSpPr>
      <cdr:spPr>
        <a:xfrm xmlns:a="http://schemas.openxmlformats.org/drawingml/2006/main">
          <a:off x="0" y="5874136"/>
          <a:ext cx="2948940" cy="206624"/>
        </a:xfrm>
        <a:prstGeom xmlns:a="http://schemas.openxmlformats.org/drawingml/2006/main" prst="rect">
          <a:avLst/>
        </a:prstGeom>
        <a:solidFill xmlns:a="http://schemas.openxmlformats.org/drawingml/2006/main">
          <a:schemeClr val="bg1"/>
        </a:solidFill>
        <a:ln xmlns:a="http://schemas.openxmlformats.org/drawingml/2006/main">
          <a:no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D3A0AEFC-877D-491B-B84E-51B4FE6F4B83}" type="TxLink">
            <a:rPr lang="fi-FI" sz="800" b="0">
              <a:solidFill>
                <a:sysClr val="windowText" lastClr="000000"/>
              </a:solidFill>
              <a:latin typeface="Arial Narrow" pitchFamily="34" charset="0"/>
            </a:rPr>
            <a:pPr algn="l"/>
            <a:t>© Ympäristöministeriö, PILP-laskin 2018 (versio maaliskuu 2017)</a:t>
          </a:fld>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0.72817</cdr:x>
      <cdr:y>0.79805</cdr:y>
    </cdr:from>
    <cdr:to>
      <cdr:x>0.96779</cdr:x>
      <cdr:y>0.83752</cdr:y>
    </cdr:to>
    <cdr:sp macro="" textlink="'Hki-2012'!$D$88">
      <cdr:nvSpPr>
        <cdr:cNvPr id="15" name="TextBox 14"/>
        <cdr:cNvSpPr txBox="1"/>
      </cdr:nvSpPr>
      <cdr:spPr>
        <a:xfrm xmlns:a="http://schemas.openxmlformats.org/drawingml/2006/main">
          <a:off x="6755731" y="4848910"/>
          <a:ext cx="2223106" cy="23980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8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B72AE8F-9AD2-4319-8755-E3594437C719}" type="TxLink">
            <a:rPr lang="fi-FI" sz="1000">
              <a:solidFill>
                <a:srgbClr val="008000"/>
              </a:solidFill>
              <a:latin typeface="Arial" panose="020B0604020202020204" pitchFamily="34" charset="0"/>
              <a:cs typeface="Arial" panose="020B0604020202020204" pitchFamily="34" charset="0"/>
            </a:rPr>
            <a:pPr/>
            <a:t>PILP: 3296 kWh</a:t>
          </a:fld>
          <a:endParaRPr lang="fi-FI" sz="1000">
            <a:solidFill>
              <a:srgbClr val="008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0.72785</cdr:x>
      <cdr:y>0.75531</cdr:y>
    </cdr:from>
    <cdr:to>
      <cdr:x>0.9686</cdr:x>
      <cdr:y>0.79622</cdr:y>
    </cdr:to>
    <cdr:sp macro="" textlink="'Hki-2012'!$D$87">
      <cdr:nvSpPr>
        <cdr:cNvPr id="10" name="TextBox 1"/>
        <cdr:cNvSpPr txBox="1"/>
      </cdr:nvSpPr>
      <cdr:spPr>
        <a:xfrm xmlns:a="http://schemas.openxmlformats.org/drawingml/2006/main">
          <a:off x="6752762" y="4589224"/>
          <a:ext cx="2233583" cy="248567"/>
        </a:xfrm>
        <a:prstGeom xmlns:a="http://schemas.openxmlformats.org/drawingml/2006/main" prst="rect">
          <a:avLst/>
        </a:prstGeom>
        <a:solidFill xmlns:a="http://schemas.openxmlformats.org/drawingml/2006/main">
          <a:schemeClr val="bg1"/>
        </a:solidFill>
        <a:ln xmlns:a="http://schemas.openxmlformats.org/drawingml/2006/main">
          <a:solidFill>
            <a:srgbClr val="00FF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B9238550-D84E-49DC-B45A-7A85FBF6ABA1}" type="TxLink">
            <a:rPr lang="en-US" sz="1000" b="0" i="0" u="none" strike="noStrike">
              <a:solidFill>
                <a:srgbClr val="00FF00"/>
              </a:solidFill>
              <a:latin typeface="Arial"/>
              <a:cs typeface="Arial"/>
            </a:rPr>
            <a:pPr/>
            <a:t>LTO: 3053 kWh</a:t>
          </a:fld>
          <a:endParaRPr lang="fi-FI" sz="1000">
            <a:solidFill>
              <a:srgbClr val="00FF00"/>
            </a:solidFill>
          </a:endParaRPr>
        </a:p>
      </cdr:txBody>
    </cdr:sp>
  </cdr:relSizeAnchor>
  <cdr:relSizeAnchor xmlns:cdr="http://schemas.openxmlformats.org/drawingml/2006/chartDrawing">
    <cdr:from>
      <cdr:x>0.20824</cdr:x>
      <cdr:y>0.02202</cdr:y>
    </cdr:from>
    <cdr:to>
      <cdr:x>0.71879</cdr:x>
      <cdr:y>0.06372</cdr:y>
    </cdr:to>
    <cdr:sp macro="" textlink="'Hki-2012'!$K$21">
      <cdr:nvSpPr>
        <cdr:cNvPr id="12" name="TextBox 1"/>
        <cdr:cNvSpPr txBox="1"/>
      </cdr:nvSpPr>
      <cdr:spPr>
        <a:xfrm xmlns:a="http://schemas.openxmlformats.org/drawingml/2006/main">
          <a:off x="1932710" y="133928"/>
          <a:ext cx="4738486" cy="25353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7E25588-95B1-4620-9BB6-19B2F28C79D8}" type="TxLink">
            <a:rPr lang="en-US" sz="1000" b="1" i="0" u="none" strike="noStrike">
              <a:solidFill>
                <a:srgbClr val="000000"/>
              </a:solidFill>
              <a:latin typeface="Arial"/>
              <a:cs typeface="Arial"/>
            </a:rPr>
            <a:pPr/>
            <a:t>Höyrystin poistoilmassa ennen LTO:a ja lauhdutin varaajassa</a:t>
          </a:fld>
          <a:endParaRPr lang="fi-FI" sz="1000" b="1">
            <a:solidFill>
              <a:srgbClr val="FFC000"/>
            </a:solidFill>
          </a:endParaRPr>
        </a:p>
      </cdr:txBody>
    </cdr:sp>
  </cdr:relSizeAnchor>
  <cdr:relSizeAnchor xmlns:cdr="http://schemas.openxmlformats.org/drawingml/2006/chartDrawing">
    <cdr:from>
      <cdr:x>0.72872</cdr:x>
      <cdr:y>0.70555</cdr:y>
    </cdr:from>
    <cdr:to>
      <cdr:x>0.9683</cdr:x>
      <cdr:y>0.74651</cdr:y>
    </cdr:to>
    <cdr:sp macro="" textlink="'Hki-2012'!$D$98">
      <cdr:nvSpPr>
        <cdr:cNvPr id="17" name="TextBox 1"/>
        <cdr:cNvSpPr txBox="1"/>
      </cdr:nvSpPr>
      <cdr:spPr>
        <a:xfrm xmlns:a="http://schemas.openxmlformats.org/drawingml/2006/main">
          <a:off x="6760834" y="4286884"/>
          <a:ext cx="2222747" cy="248851"/>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FF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F1ECB6E-096C-446C-8F41-53F943523165}" type="TxLink">
            <a:rPr lang="en-US" sz="1000" b="0" i="0" u="none" strike="noStrike">
              <a:solidFill>
                <a:srgbClr val="FF0000"/>
              </a:solidFill>
              <a:latin typeface="Arial"/>
              <a:cs typeface="Arial"/>
            </a:rPr>
            <a:pPr/>
            <a:t>Tuloilman jälkilämmitys: 2443 kWh</a:t>
          </a:fld>
          <a:endParaRPr lang="fi-FI" sz="1000">
            <a:solidFill>
              <a:srgbClr val="FF0000"/>
            </a:solidFill>
          </a:endParaRPr>
        </a:p>
      </cdr:txBody>
    </cdr:sp>
  </cdr:relSizeAnchor>
  <cdr:relSizeAnchor xmlns:cdr="http://schemas.openxmlformats.org/drawingml/2006/chartDrawing">
    <cdr:from>
      <cdr:x>0.72843</cdr:x>
      <cdr:y>0.50893</cdr:y>
    </cdr:from>
    <cdr:to>
      <cdr:x>0.96834</cdr:x>
      <cdr:y>0.54849</cdr:y>
    </cdr:to>
    <cdr:sp macro="" textlink="'Hki-2012'!$D$104">
      <cdr:nvSpPr>
        <cdr:cNvPr id="16" name="TextBox 1"/>
        <cdr:cNvSpPr txBox="1"/>
      </cdr:nvSpPr>
      <cdr:spPr>
        <a:xfrm xmlns:a="http://schemas.openxmlformats.org/drawingml/2006/main">
          <a:off x="6748379" y="3085431"/>
          <a:ext cx="2222602" cy="23980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89E5A7F5-D75D-4654-998A-48206D30AAB5}" type="TxLink">
            <a:rPr lang="en-US" sz="1000" b="0" i="0" u="none" strike="noStrike">
              <a:solidFill>
                <a:srgbClr val="000000"/>
              </a:solidFill>
              <a:latin typeface="Arial"/>
              <a:cs typeface="Arial"/>
            </a:rPr>
            <a:pPr/>
            <a:t>Bruttolämmöntarve: 23858 kWh</a:t>
          </a:fld>
          <a:endParaRPr lang="fi-FI" sz="900" b="0">
            <a:solidFill>
              <a:srgbClr val="FFC000"/>
            </a:solidFill>
            <a:latin typeface="Arial" panose="020B0604020202020204" pitchFamily="34" charset="0"/>
            <a:cs typeface="Arial" panose="020B0604020202020204" pitchFamily="34" charset="0"/>
          </a:endParaRPr>
        </a:p>
      </cdr:txBody>
    </cdr:sp>
  </cdr:relSizeAnchor>
</c:userShapes>
</file>

<file path=xl/drawings/drawing12.xml><?xml version="1.0" encoding="utf-8"?>
<xdr:wsDr xmlns:xdr="http://schemas.openxmlformats.org/drawingml/2006/spreadsheetDrawing" xmlns:a="http://schemas.openxmlformats.org/drawingml/2006/main">
  <xdr:absoluteAnchor>
    <xdr:pos x="0" y="0"/>
    <xdr:ext cx="9261764" cy="6061364"/>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c:userShapes xmlns:c="http://schemas.openxmlformats.org/drawingml/2006/chart">
  <cdr:relSizeAnchor xmlns:cdr="http://schemas.openxmlformats.org/drawingml/2006/chartDrawing">
    <cdr:from>
      <cdr:x>0.72816</cdr:x>
      <cdr:y>0.84531</cdr:y>
    </cdr:from>
    <cdr:to>
      <cdr:x>0.96716</cdr:x>
      <cdr:y>0.88627</cdr:y>
    </cdr:to>
    <cdr:sp macro="" textlink="'Hki-2012'!$D$96">
      <cdr:nvSpPr>
        <cdr:cNvPr id="4" name="TextBox 3"/>
        <cdr:cNvSpPr txBox="1"/>
      </cdr:nvSpPr>
      <cdr:spPr>
        <a:xfrm xmlns:a="http://schemas.openxmlformats.org/drawingml/2006/main">
          <a:off x="6755638" y="5136059"/>
          <a:ext cx="2217367" cy="248851"/>
        </a:xfrm>
        <a:prstGeom xmlns:a="http://schemas.openxmlformats.org/drawingml/2006/main" prst="rect">
          <a:avLst/>
        </a:prstGeom>
        <a:solidFill xmlns:a="http://schemas.openxmlformats.org/drawingml/2006/main">
          <a:schemeClr val="bg1"/>
        </a:solidFill>
        <a:ln xmlns:a="http://schemas.openxmlformats.org/drawingml/2006/main">
          <a:solidFill>
            <a:srgbClr val="7030A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B6DE4EE-DA15-43D6-91AD-FABD73DD2C96}" type="TxLink">
            <a:rPr lang="fi-FI" sz="1000" b="0" i="0" u="none" strike="noStrike">
              <a:solidFill>
                <a:srgbClr val="7030A0"/>
              </a:solidFill>
              <a:latin typeface="Arial"/>
              <a:cs typeface="Arial"/>
            </a:rPr>
            <a:pPr/>
            <a:t>Kompressorin sähkö: 2197 kWh</a:t>
          </a:fld>
          <a:endParaRPr lang="fi-FI" sz="1000">
            <a:solidFill>
              <a:srgbClr val="7030A0"/>
            </a:solidFill>
          </a:endParaRPr>
        </a:p>
      </cdr:txBody>
    </cdr:sp>
  </cdr:relSizeAnchor>
  <cdr:relSizeAnchor xmlns:cdr="http://schemas.openxmlformats.org/drawingml/2006/chartDrawing">
    <cdr:from>
      <cdr:x>0.72751</cdr:x>
      <cdr:y>0.60031</cdr:y>
    </cdr:from>
    <cdr:to>
      <cdr:x>0.96748</cdr:x>
      <cdr:y>0.64127</cdr:y>
    </cdr:to>
    <cdr:sp macro="" textlink="'Hki-2012'!$D$92">
      <cdr:nvSpPr>
        <cdr:cNvPr id="8" name="TextBox 7"/>
        <cdr:cNvSpPr txBox="1"/>
      </cdr:nvSpPr>
      <cdr:spPr>
        <a:xfrm xmlns:a="http://schemas.openxmlformats.org/drawingml/2006/main">
          <a:off x="6749642" y="3647452"/>
          <a:ext cx="2226332" cy="248851"/>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C00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F5CD717-E35C-4579-BE1C-DED25525AB6D}" type="TxLink">
            <a:rPr lang="en-US" sz="1000" b="0" i="0" u="none" strike="noStrike">
              <a:solidFill>
                <a:srgbClr val="C00000"/>
              </a:solidFill>
              <a:latin typeface="Arial"/>
              <a:cs typeface="Arial"/>
            </a:rPr>
            <a:pPr/>
            <a:t>Muu lämmitys: 9838 kWh</a:t>
          </a:fld>
          <a:endParaRPr lang="fi-FI" sz="1000">
            <a:solidFill>
              <a:srgbClr val="C00000"/>
            </a:solidFill>
          </a:endParaRPr>
        </a:p>
      </cdr:txBody>
    </cdr:sp>
  </cdr:relSizeAnchor>
  <cdr:relSizeAnchor xmlns:cdr="http://schemas.openxmlformats.org/drawingml/2006/chartDrawing">
    <cdr:from>
      <cdr:x>0.72767</cdr:x>
      <cdr:y>0.55559</cdr:y>
    </cdr:from>
    <cdr:to>
      <cdr:x>0.96805</cdr:x>
      <cdr:y>0.59397</cdr:y>
    </cdr:to>
    <cdr:sp macro="" textlink="'Hki-2012'!$D$91">
      <cdr:nvSpPr>
        <cdr:cNvPr id="11" name="TextBox 1"/>
        <cdr:cNvSpPr txBox="1"/>
      </cdr:nvSpPr>
      <cdr:spPr>
        <a:xfrm xmlns:a="http://schemas.openxmlformats.org/drawingml/2006/main">
          <a:off x="6751053" y="3375735"/>
          <a:ext cx="2230209" cy="233205"/>
        </a:xfrm>
        <a:prstGeom xmlns:a="http://schemas.openxmlformats.org/drawingml/2006/main" prst="rect">
          <a:avLst/>
        </a:prstGeom>
        <a:solidFill xmlns:a="http://schemas.openxmlformats.org/drawingml/2006/main">
          <a:schemeClr val="bg1"/>
        </a:solidFill>
        <a:ln xmlns:a="http://schemas.openxmlformats.org/drawingml/2006/main">
          <a:solidFill>
            <a:srgbClr val="FFC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9E16065-75FC-4D5E-96DF-385911B869B1}" type="TxLink">
            <a:rPr lang="fi-FI" sz="900" b="0" i="0" u="none" strike="noStrike">
              <a:solidFill>
                <a:srgbClr val="FFC000"/>
              </a:solidFill>
              <a:latin typeface="Arial"/>
              <a:cs typeface="Arial"/>
            </a:rPr>
            <a:pPr/>
            <a:t>Hyödynnetyt lämpökuormat: 5473 kWh</a:t>
          </a:fld>
          <a:endParaRPr lang="fi-FI" sz="900" b="0">
            <a:solidFill>
              <a:srgbClr val="FFC000"/>
            </a:solidFill>
          </a:endParaRPr>
        </a:p>
      </cdr:txBody>
    </cdr:sp>
  </cdr:relSizeAnchor>
  <cdr:relSizeAnchor xmlns:cdr="http://schemas.openxmlformats.org/drawingml/2006/chartDrawing">
    <cdr:from>
      <cdr:x>0.59045</cdr:x>
      <cdr:y>0.37173</cdr:y>
    </cdr:from>
    <cdr:to>
      <cdr:x>0.72541</cdr:x>
      <cdr:y>0.37173</cdr:y>
    </cdr:to>
    <cdr:cxnSp macro="">
      <cdr:nvCxnSpPr>
        <cdr:cNvPr id="19" name="Straight Arrow Connector 18">
          <a:extLst xmlns:a="http://schemas.openxmlformats.org/drawingml/2006/main">
            <a:ext uri="{FF2B5EF4-FFF2-40B4-BE49-F238E27FC236}">
              <a16:creationId xmlns:a16="http://schemas.microsoft.com/office/drawing/2014/main" id="{219D7CE9-1F2F-4814-9458-0C4A378A0CF6}"/>
            </a:ext>
          </a:extLst>
        </cdr:cNvPr>
        <cdr:cNvCxnSpPr/>
      </cdr:nvCxnSpPr>
      <cdr:spPr>
        <a:xfrm xmlns:a="http://schemas.openxmlformats.org/drawingml/2006/main" flipH="1">
          <a:off x="5167175" y="2174848"/>
          <a:ext cx="1181090" cy="0"/>
        </a:xfrm>
        <a:prstGeom xmlns:a="http://schemas.openxmlformats.org/drawingml/2006/main" prst="straightConnector1">
          <a:avLst/>
        </a:prstGeom>
        <a:ln xmlns:a="http://schemas.openxmlformats.org/drawingml/2006/main" w="22225">
          <a:solidFill>
            <a:schemeClr val="tx1"/>
          </a:solidFill>
          <a:tailEnd type="triangle" w="lg" len="med"/>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0.58936</cdr:x>
      <cdr:y>0.31801</cdr:y>
    </cdr:from>
    <cdr:to>
      <cdr:x>0.72057</cdr:x>
      <cdr:y>0.36259</cdr:y>
    </cdr:to>
    <cdr:sp macro="" textlink="">
      <cdr:nvSpPr>
        <cdr:cNvPr id="20" name="TextBox 2"/>
        <cdr:cNvSpPr txBox="1"/>
      </cdr:nvSpPr>
      <cdr:spPr>
        <a:xfrm xmlns:a="http://schemas.openxmlformats.org/drawingml/2006/main">
          <a:off x="5484541" y="1932531"/>
          <a:ext cx="1221060" cy="270919"/>
        </a:xfrm>
        <a:prstGeom xmlns:a="http://schemas.openxmlformats.org/drawingml/2006/main" prst="rect">
          <a:avLst/>
        </a:prstGeom>
        <a:solidFill xmlns:a="http://schemas.openxmlformats.org/drawingml/2006/main">
          <a:sysClr val="window" lastClr="FFFFFF"/>
        </a:solidFill>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i-FI" sz="1200">
              <a:latin typeface="Arial" panose="020B0604020202020204" pitchFamily="34" charset="0"/>
              <a:cs typeface="Arial" panose="020B0604020202020204" pitchFamily="34" charset="0"/>
            </a:rPr>
            <a:t>Lämmityskausi</a:t>
          </a:r>
        </a:p>
      </cdr:txBody>
    </cdr:sp>
  </cdr:relSizeAnchor>
  <cdr:relSizeAnchor xmlns:cdr="http://schemas.openxmlformats.org/drawingml/2006/chartDrawing">
    <cdr:from>
      <cdr:x>0.74413</cdr:x>
      <cdr:y>0.03043</cdr:y>
    </cdr:from>
    <cdr:to>
      <cdr:x>0.9543</cdr:x>
      <cdr:y>0.14935</cdr:y>
    </cdr:to>
    <cdr:sp macro="" textlink="">
      <cdr:nvSpPr>
        <cdr:cNvPr id="14" name="TextBox 1"/>
        <cdr:cNvSpPr txBox="1"/>
      </cdr:nvSpPr>
      <cdr:spPr>
        <a:xfrm xmlns:a="http://schemas.openxmlformats.org/drawingml/2006/main">
          <a:off x="6899826" y="184799"/>
          <a:ext cx="1948767" cy="722075"/>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fi-FI" sz="1400" b="1">
              <a:solidFill>
                <a:sysClr val="windowText" lastClr="000000"/>
              </a:solidFill>
              <a:latin typeface="Arial" panose="020B0604020202020204" pitchFamily="34" charset="0"/>
              <a:cs typeface="Arial" panose="020B0604020202020204" pitchFamily="34" charset="0"/>
            </a:rPr>
            <a:t>Lämmitystehot, kun PILP:n lauhdutin</a:t>
          </a:r>
          <a:r>
            <a:rPr lang="fi-FI" sz="1400" b="1" baseline="0">
              <a:solidFill>
                <a:sysClr val="windowText" lastClr="000000"/>
              </a:solidFill>
              <a:latin typeface="Arial" panose="020B0604020202020204" pitchFamily="34" charset="0"/>
              <a:cs typeface="Arial" panose="020B0604020202020204" pitchFamily="34" charset="0"/>
            </a:rPr>
            <a:t> on varaajassa</a:t>
          </a:r>
        </a:p>
      </cdr:txBody>
    </cdr:sp>
  </cdr:relSizeAnchor>
  <cdr:relSizeAnchor xmlns:cdr="http://schemas.openxmlformats.org/drawingml/2006/chartDrawing">
    <cdr:from>
      <cdr:x>0</cdr:x>
      <cdr:y>0.96602</cdr:y>
    </cdr:from>
    <cdr:to>
      <cdr:x>0.31488</cdr:x>
      <cdr:y>1</cdr:y>
    </cdr:to>
    <cdr:sp macro="" textlink="Ilmanvaihto!$A$40">
      <cdr:nvSpPr>
        <cdr:cNvPr id="13" name="TextBox 1"/>
        <cdr:cNvSpPr txBox="1"/>
      </cdr:nvSpPr>
      <cdr:spPr>
        <a:xfrm xmlns:a="http://schemas.openxmlformats.org/drawingml/2006/main">
          <a:off x="0" y="5865613"/>
          <a:ext cx="2919663" cy="206324"/>
        </a:xfrm>
        <a:prstGeom xmlns:a="http://schemas.openxmlformats.org/drawingml/2006/main" prst="rect">
          <a:avLst/>
        </a:prstGeom>
        <a:solidFill xmlns:a="http://schemas.openxmlformats.org/drawingml/2006/main">
          <a:schemeClr val="bg1"/>
        </a:solidFill>
        <a:ln xmlns:a="http://schemas.openxmlformats.org/drawingml/2006/main">
          <a:noFill/>
        </a:ln>
      </cdr:spPr>
      <cdr:txBody>
        <a:bodyPr xmlns:a="http://schemas.openxmlformats.org/drawingml/2006/main" wrap="square" rtlCol="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D3A0AEFC-877D-491B-B84E-51B4FE6F4B83}" type="TxLink">
            <a:rPr lang="fi-FI" sz="800" b="0" i="0" u="none" strike="noStrike">
              <a:solidFill>
                <a:sysClr val="windowText" lastClr="000000"/>
              </a:solidFill>
              <a:latin typeface="Arial Narrow" pitchFamily="34" charset="0"/>
              <a:cs typeface="Arial"/>
            </a:rPr>
            <a:pPr algn="l"/>
            <a:t>© Ympäristöministeriö, PILP-laskin 2018 (versio maaliskuu 2017)</a:t>
          </a:fld>
          <a:endParaRPr lang="fi-FI" sz="800" b="0">
            <a:solidFill>
              <a:sysClr val="windowText" lastClr="000000"/>
            </a:solidFill>
            <a:latin typeface="Arial Narrow" pitchFamily="34" charset="0"/>
          </a:endParaRPr>
        </a:p>
      </cdr:txBody>
    </cdr:sp>
  </cdr:relSizeAnchor>
  <cdr:relSizeAnchor xmlns:cdr="http://schemas.openxmlformats.org/drawingml/2006/chartDrawing">
    <cdr:from>
      <cdr:x>0.72809</cdr:x>
      <cdr:y>0.79761</cdr:y>
    </cdr:from>
    <cdr:to>
      <cdr:x>0.9677</cdr:x>
      <cdr:y>0.84014</cdr:y>
    </cdr:to>
    <cdr:sp macro="" textlink="'Hki-2012'!$D$88">
      <cdr:nvSpPr>
        <cdr:cNvPr id="15" name="TextBox 14"/>
        <cdr:cNvSpPr txBox="1"/>
      </cdr:nvSpPr>
      <cdr:spPr>
        <a:xfrm xmlns:a="http://schemas.openxmlformats.org/drawingml/2006/main">
          <a:off x="6753485" y="4845655"/>
          <a:ext cx="2222574" cy="258379"/>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8000"/>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B72AE8F-9AD2-4319-8755-E3594437C719}" type="TxLink">
            <a:rPr lang="fi-FI" sz="1000" b="0" i="0" u="none" strike="noStrike">
              <a:solidFill>
                <a:srgbClr val="008000"/>
              </a:solidFill>
              <a:latin typeface="Arial"/>
              <a:cs typeface="Arial"/>
            </a:rPr>
            <a:pPr/>
            <a:t>PILP: 3296 kWh</a:t>
          </a:fld>
          <a:endParaRPr lang="fi-FI" sz="1000">
            <a:solidFill>
              <a:srgbClr val="008000"/>
            </a:solidFill>
          </a:endParaRPr>
        </a:p>
      </cdr:txBody>
    </cdr:sp>
  </cdr:relSizeAnchor>
  <cdr:relSizeAnchor xmlns:cdr="http://schemas.openxmlformats.org/drawingml/2006/chartDrawing">
    <cdr:from>
      <cdr:x>0.72809</cdr:x>
      <cdr:y>0.7431</cdr:y>
    </cdr:from>
    <cdr:to>
      <cdr:x>0.96825</cdr:x>
      <cdr:y>0.78406</cdr:y>
    </cdr:to>
    <cdr:sp macro="" textlink="'Hki-2012'!$D$100">
      <cdr:nvSpPr>
        <cdr:cNvPr id="10" name="TextBox 9"/>
        <cdr:cNvSpPr txBox="1"/>
      </cdr:nvSpPr>
      <cdr:spPr>
        <a:xfrm xmlns:a="http://schemas.openxmlformats.org/drawingml/2006/main">
          <a:off x="6754989" y="4515036"/>
          <a:ext cx="2228129" cy="248851"/>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66FF"/>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0F7BFDA-2295-429A-B3CB-1650B9F54D33}" type="TxLink">
            <a:rPr lang="en-US" sz="1000" b="0" i="0" u="none" strike="noStrike">
              <a:solidFill>
                <a:srgbClr val="0066FF"/>
              </a:solidFill>
              <a:latin typeface="Arial"/>
              <a:cs typeface="Arial"/>
            </a:rPr>
            <a:pPr/>
            <a:t>Käyttöveden lämmitys: 3715 kWh</a:t>
          </a:fld>
          <a:endParaRPr lang="fi-FI" sz="1000">
            <a:solidFill>
              <a:srgbClr val="0066FF"/>
            </a:solidFill>
          </a:endParaRPr>
        </a:p>
      </cdr:txBody>
    </cdr:sp>
  </cdr:relSizeAnchor>
  <cdr:relSizeAnchor xmlns:cdr="http://schemas.openxmlformats.org/drawingml/2006/chartDrawing">
    <cdr:from>
      <cdr:x>0.72809</cdr:x>
      <cdr:y>0.7</cdr:y>
    </cdr:from>
    <cdr:to>
      <cdr:x>0.9677</cdr:x>
      <cdr:y>0.74096</cdr:y>
    </cdr:to>
    <cdr:sp macro="" textlink="'Hki-2012'!$D$101">
      <cdr:nvSpPr>
        <cdr:cNvPr id="12" name="TextBox 11"/>
        <cdr:cNvSpPr txBox="1"/>
      </cdr:nvSpPr>
      <cdr:spPr>
        <a:xfrm xmlns:a="http://schemas.openxmlformats.org/drawingml/2006/main">
          <a:off x="6754989" y="4253163"/>
          <a:ext cx="2223026" cy="248851"/>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66FF"/>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581BD89-B4E3-41EE-AFBD-949D67C53461}" type="TxLink">
            <a:rPr lang="en-US" sz="1000" b="0" i="0" u="none" strike="noStrike">
              <a:solidFill>
                <a:srgbClr val="0066FF"/>
              </a:solidFill>
              <a:latin typeface="Arial"/>
              <a:cs typeface="Arial"/>
            </a:rPr>
            <a:pPr/>
            <a:t>Käyttöveden lämpöhäviö: 368 kWh</a:t>
          </a:fld>
          <a:endParaRPr lang="fi-FI" sz="1000">
            <a:solidFill>
              <a:srgbClr val="0066FF"/>
            </a:solidFill>
          </a:endParaRPr>
        </a:p>
      </cdr:txBody>
    </cdr:sp>
  </cdr:relSizeAnchor>
  <cdr:relSizeAnchor xmlns:cdr="http://schemas.openxmlformats.org/drawingml/2006/chartDrawing">
    <cdr:from>
      <cdr:x>0.72809</cdr:x>
      <cdr:y>0.65847</cdr:y>
    </cdr:from>
    <cdr:to>
      <cdr:x>0.96743</cdr:x>
      <cdr:y>0.69943</cdr:y>
    </cdr:to>
    <cdr:sp macro="" textlink="'Hki-2012'!$D$97">
      <cdr:nvSpPr>
        <cdr:cNvPr id="18" name="TextBox 17"/>
        <cdr:cNvSpPr txBox="1"/>
      </cdr:nvSpPr>
      <cdr:spPr>
        <a:xfrm xmlns:a="http://schemas.openxmlformats.org/drawingml/2006/main">
          <a:off x="6754989" y="4000829"/>
          <a:ext cx="2220521" cy="248851"/>
        </a:xfrm>
        <a:prstGeom xmlns:a="http://schemas.openxmlformats.org/drawingml/2006/main" prst="rect">
          <a:avLst/>
        </a:prstGeom>
        <a:solidFill xmlns:a="http://schemas.openxmlformats.org/drawingml/2006/main">
          <a:sysClr val="window" lastClr="FFFFFF"/>
        </a:solidFill>
        <a:ln xmlns:a="http://schemas.openxmlformats.org/drawingml/2006/main">
          <a:solidFill>
            <a:srgbClr val="0066FF"/>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2CA4130-1FF3-4D02-A143-7B643F663577}" type="TxLink">
            <a:rPr lang="en-US" sz="1000" b="0" i="0" u="none" strike="noStrike">
              <a:solidFill>
                <a:srgbClr val="0066FF"/>
              </a:solidFill>
              <a:latin typeface="Arial"/>
              <a:cs typeface="Arial"/>
            </a:rPr>
            <a:pPr/>
            <a:t>Muu lämpöhäviö: 0 kWh</a:t>
          </a:fld>
          <a:endParaRPr lang="fi-FI" sz="1000">
            <a:solidFill>
              <a:srgbClr val="0066FF"/>
            </a:solidFill>
          </a:endParaRPr>
        </a:p>
      </cdr:txBody>
    </cdr:sp>
  </cdr:relSizeAnchor>
  <cdr:relSizeAnchor xmlns:cdr="http://schemas.openxmlformats.org/drawingml/2006/chartDrawing">
    <cdr:from>
      <cdr:x>0.21083</cdr:x>
      <cdr:y>0.01932</cdr:y>
    </cdr:from>
    <cdr:to>
      <cdr:x>0.72122</cdr:x>
      <cdr:y>0.06112</cdr:y>
    </cdr:to>
    <cdr:sp macro="" textlink="'Hki-2012'!$K$21">
      <cdr:nvSpPr>
        <cdr:cNvPr id="21" name="TextBox 1"/>
        <cdr:cNvSpPr txBox="1"/>
      </cdr:nvSpPr>
      <cdr:spPr>
        <a:xfrm xmlns:a="http://schemas.openxmlformats.org/drawingml/2006/main">
          <a:off x="1953490" y="117175"/>
          <a:ext cx="4729249" cy="25353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13C2AB4-9ABA-41E7-81FB-1E0C7BAF616A}" type="TxLink">
            <a:rPr lang="en-US" sz="1000" b="1" i="0" u="none" strike="noStrike">
              <a:solidFill>
                <a:srgbClr val="000000"/>
              </a:solidFill>
              <a:latin typeface="Arial"/>
              <a:cs typeface="Arial"/>
            </a:rPr>
            <a:pPr/>
            <a:t>Höyrystin poistoilmassa ennen LTO:a ja lauhdutin varaajassa</a:t>
          </a:fld>
          <a:endParaRPr lang="fi-FI" sz="1000" b="1">
            <a:solidFill>
              <a:srgbClr val="FFC000"/>
            </a:solidFill>
          </a:endParaRPr>
        </a:p>
      </cdr:txBody>
    </cdr:sp>
  </cdr:relSizeAnchor>
  <cdr:relSizeAnchor xmlns:cdr="http://schemas.openxmlformats.org/drawingml/2006/chartDrawing">
    <cdr:from>
      <cdr:x>0.06903</cdr:x>
      <cdr:y>0.36929</cdr:y>
    </cdr:from>
    <cdr:to>
      <cdr:x>0.9572</cdr:x>
      <cdr:y>0.61264</cdr:y>
    </cdr:to>
    <cdr:sp macro="" textlink="'Hki-2012'!$BO$6">
      <cdr:nvSpPr>
        <cdr:cNvPr id="17" name="TextBox 1"/>
        <cdr:cNvSpPr txBox="1"/>
      </cdr:nvSpPr>
      <cdr:spPr>
        <a:xfrm xmlns:a="http://schemas.openxmlformats.org/drawingml/2006/main" rot="19484566">
          <a:off x="639618" y="2239930"/>
          <a:ext cx="8229748" cy="1476034"/>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142C7F6C-35DB-46A3-88D3-228422A5140B}" type="TxLink">
            <a:rPr lang="en-US" sz="5400" b="0" i="0" u="none" strike="noStrike">
              <a:solidFill>
                <a:srgbClr val="000000"/>
              </a:solidFill>
              <a:latin typeface="Arial"/>
              <a:cs typeface="Arial"/>
            </a:rPr>
            <a:pPr/>
            <a:t> </a:t>
          </a:fld>
          <a:endParaRPr lang="fi-FI" sz="5400" b="1">
            <a:solidFill>
              <a:srgbClr val="FFC000"/>
            </a:solidFill>
          </a:endParaRPr>
        </a:p>
      </cdr:txBody>
    </cdr:sp>
  </cdr:relSizeAnchor>
  <cdr:relSizeAnchor xmlns:cdr="http://schemas.openxmlformats.org/drawingml/2006/chartDrawing">
    <cdr:from>
      <cdr:x>0.72771</cdr:x>
      <cdr:y>0.48908</cdr:y>
    </cdr:from>
    <cdr:to>
      <cdr:x>0.96762</cdr:x>
      <cdr:y>0.52864</cdr:y>
    </cdr:to>
    <cdr:sp macro="" textlink="'Hki-2012'!$D$104">
      <cdr:nvSpPr>
        <cdr:cNvPr id="16" name="TextBox 1"/>
        <cdr:cNvSpPr txBox="1"/>
      </cdr:nvSpPr>
      <cdr:spPr>
        <a:xfrm xmlns:a="http://schemas.openxmlformats.org/drawingml/2006/main">
          <a:off x="6741695" y="2965115"/>
          <a:ext cx="2222602" cy="23980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wrap="square"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4C6FB1C-BB06-44F9-8D22-8D4A00AC311B}" type="TxLink">
            <a:rPr lang="en-US" sz="1000" b="0" i="0" u="none" strike="noStrike">
              <a:solidFill>
                <a:srgbClr val="000000"/>
              </a:solidFill>
              <a:latin typeface="Arial"/>
              <a:cs typeface="Arial"/>
            </a:rPr>
            <a:pPr/>
            <a:t>Bruttolämmöntarve: 23858 kWh</a:t>
          </a:fld>
          <a:endParaRPr lang="fi-FI" sz="900" b="0">
            <a:solidFill>
              <a:srgbClr val="FFC000"/>
            </a:solidFill>
            <a:latin typeface="Arial" panose="020B0604020202020204" pitchFamily="34" charset="0"/>
            <a:cs typeface="Arial" panose="020B0604020202020204" pitchFamily="34" charset="0"/>
          </a:endParaRPr>
        </a:p>
      </cdr:txBody>
    </cdr:sp>
  </cdr:relSizeAnchor>
</c:userShape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2.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122"/>
  <sheetViews>
    <sheetView topLeftCell="A25" workbookViewId="0">
      <selection activeCell="K45" sqref="K45"/>
    </sheetView>
  </sheetViews>
  <sheetFormatPr defaultColWidth="8.81640625" defaultRowHeight="12.5" x14ac:dyDescent="0.25"/>
  <cols>
    <col min="1" max="1" width="14.7265625" style="25" customWidth="1"/>
    <col min="2" max="2" width="33.1796875" style="25" customWidth="1"/>
    <col min="3" max="3" width="10.7265625" style="25" customWidth="1"/>
    <col min="4" max="4" width="10.453125" style="25" customWidth="1"/>
    <col min="5" max="5" width="12.26953125" style="25" customWidth="1"/>
    <col min="6" max="6" width="9" style="25" customWidth="1"/>
    <col min="7" max="7" width="18" style="25" customWidth="1"/>
    <col min="8" max="9" width="7.453125" style="25" customWidth="1"/>
    <col min="10" max="10" width="1.81640625" style="25" hidden="1" customWidth="1"/>
    <col min="11" max="11" width="18.7265625" style="25" customWidth="1"/>
    <col min="12" max="12" width="20.453125" style="25" customWidth="1"/>
    <col min="13" max="13" width="0.54296875" style="28" customWidth="1"/>
    <col min="14" max="14" width="20.26953125" style="28" customWidth="1"/>
    <col min="15" max="15" width="8.81640625" style="29" customWidth="1"/>
    <col min="16" max="16" width="8.81640625" style="30" customWidth="1"/>
    <col min="17" max="23" width="8.81640625" style="29" customWidth="1"/>
    <col min="24" max="256" width="8.81640625" style="25"/>
    <col min="257" max="257" width="14.7265625" style="25" customWidth="1"/>
    <col min="258" max="258" width="33.1796875" style="25" customWidth="1"/>
    <col min="259" max="259" width="10.7265625" style="25" customWidth="1"/>
    <col min="260" max="260" width="10.453125" style="25" customWidth="1"/>
    <col min="261" max="261" width="12.26953125" style="25" customWidth="1"/>
    <col min="262" max="262" width="9" style="25" customWidth="1"/>
    <col min="263" max="263" width="18" style="25" customWidth="1"/>
    <col min="264" max="265" width="7.453125" style="25" customWidth="1"/>
    <col min="266" max="266" width="0" style="25" hidden="1" customWidth="1"/>
    <col min="267" max="267" width="18.7265625" style="25" customWidth="1"/>
    <col min="268" max="268" width="20.453125" style="25" customWidth="1"/>
    <col min="269" max="269" width="0.54296875" style="25" customWidth="1"/>
    <col min="270" max="270" width="20.26953125" style="25" customWidth="1"/>
    <col min="271" max="279" width="8.81640625" style="25" customWidth="1"/>
    <col min="280" max="512" width="8.81640625" style="25"/>
    <col min="513" max="513" width="14.7265625" style="25" customWidth="1"/>
    <col min="514" max="514" width="33.1796875" style="25" customWidth="1"/>
    <col min="515" max="515" width="10.7265625" style="25" customWidth="1"/>
    <col min="516" max="516" width="10.453125" style="25" customWidth="1"/>
    <col min="517" max="517" width="12.26953125" style="25" customWidth="1"/>
    <col min="518" max="518" width="9" style="25" customWidth="1"/>
    <col min="519" max="519" width="18" style="25" customWidth="1"/>
    <col min="520" max="521" width="7.453125" style="25" customWidth="1"/>
    <col min="522" max="522" width="0" style="25" hidden="1" customWidth="1"/>
    <col min="523" max="523" width="18.7265625" style="25" customWidth="1"/>
    <col min="524" max="524" width="20.453125" style="25" customWidth="1"/>
    <col min="525" max="525" width="0.54296875" style="25" customWidth="1"/>
    <col min="526" max="526" width="20.26953125" style="25" customWidth="1"/>
    <col min="527" max="535" width="8.81640625" style="25" customWidth="1"/>
    <col min="536" max="768" width="8.81640625" style="25"/>
    <col min="769" max="769" width="14.7265625" style="25" customWidth="1"/>
    <col min="770" max="770" width="33.1796875" style="25" customWidth="1"/>
    <col min="771" max="771" width="10.7265625" style="25" customWidth="1"/>
    <col min="772" max="772" width="10.453125" style="25" customWidth="1"/>
    <col min="773" max="773" width="12.26953125" style="25" customWidth="1"/>
    <col min="774" max="774" width="9" style="25" customWidth="1"/>
    <col min="775" max="775" width="18" style="25" customWidth="1"/>
    <col min="776" max="777" width="7.453125" style="25" customWidth="1"/>
    <col min="778" max="778" width="0" style="25" hidden="1" customWidth="1"/>
    <col min="779" max="779" width="18.7265625" style="25" customWidth="1"/>
    <col min="780" max="780" width="20.453125" style="25" customWidth="1"/>
    <col min="781" max="781" width="0.54296875" style="25" customWidth="1"/>
    <col min="782" max="782" width="20.26953125" style="25" customWidth="1"/>
    <col min="783" max="791" width="8.81640625" style="25" customWidth="1"/>
    <col min="792" max="1024" width="8.81640625" style="25"/>
    <col min="1025" max="1025" width="14.7265625" style="25" customWidth="1"/>
    <col min="1026" max="1026" width="33.1796875" style="25" customWidth="1"/>
    <col min="1027" max="1027" width="10.7265625" style="25" customWidth="1"/>
    <col min="1028" max="1028" width="10.453125" style="25" customWidth="1"/>
    <col min="1029" max="1029" width="12.26953125" style="25" customWidth="1"/>
    <col min="1030" max="1030" width="9" style="25" customWidth="1"/>
    <col min="1031" max="1031" width="18" style="25" customWidth="1"/>
    <col min="1032" max="1033" width="7.453125" style="25" customWidth="1"/>
    <col min="1034" max="1034" width="0" style="25" hidden="1" customWidth="1"/>
    <col min="1035" max="1035" width="18.7265625" style="25" customWidth="1"/>
    <col min="1036" max="1036" width="20.453125" style="25" customWidth="1"/>
    <col min="1037" max="1037" width="0.54296875" style="25" customWidth="1"/>
    <col min="1038" max="1038" width="20.26953125" style="25" customWidth="1"/>
    <col min="1039" max="1047" width="8.81640625" style="25" customWidth="1"/>
    <col min="1048" max="1280" width="8.81640625" style="25"/>
    <col min="1281" max="1281" width="14.7265625" style="25" customWidth="1"/>
    <col min="1282" max="1282" width="33.1796875" style="25" customWidth="1"/>
    <col min="1283" max="1283" width="10.7265625" style="25" customWidth="1"/>
    <col min="1284" max="1284" width="10.453125" style="25" customWidth="1"/>
    <col min="1285" max="1285" width="12.26953125" style="25" customWidth="1"/>
    <col min="1286" max="1286" width="9" style="25" customWidth="1"/>
    <col min="1287" max="1287" width="18" style="25" customWidth="1"/>
    <col min="1288" max="1289" width="7.453125" style="25" customWidth="1"/>
    <col min="1290" max="1290" width="0" style="25" hidden="1" customWidth="1"/>
    <col min="1291" max="1291" width="18.7265625" style="25" customWidth="1"/>
    <col min="1292" max="1292" width="20.453125" style="25" customWidth="1"/>
    <col min="1293" max="1293" width="0.54296875" style="25" customWidth="1"/>
    <col min="1294" max="1294" width="20.26953125" style="25" customWidth="1"/>
    <col min="1295" max="1303" width="8.81640625" style="25" customWidth="1"/>
    <col min="1304" max="1536" width="8.81640625" style="25"/>
    <col min="1537" max="1537" width="14.7265625" style="25" customWidth="1"/>
    <col min="1538" max="1538" width="33.1796875" style="25" customWidth="1"/>
    <col min="1539" max="1539" width="10.7265625" style="25" customWidth="1"/>
    <col min="1540" max="1540" width="10.453125" style="25" customWidth="1"/>
    <col min="1541" max="1541" width="12.26953125" style="25" customWidth="1"/>
    <col min="1542" max="1542" width="9" style="25" customWidth="1"/>
    <col min="1543" max="1543" width="18" style="25" customWidth="1"/>
    <col min="1544" max="1545" width="7.453125" style="25" customWidth="1"/>
    <col min="1546" max="1546" width="0" style="25" hidden="1" customWidth="1"/>
    <col min="1547" max="1547" width="18.7265625" style="25" customWidth="1"/>
    <col min="1548" max="1548" width="20.453125" style="25" customWidth="1"/>
    <col min="1549" max="1549" width="0.54296875" style="25" customWidth="1"/>
    <col min="1550" max="1550" width="20.26953125" style="25" customWidth="1"/>
    <col min="1551" max="1559" width="8.81640625" style="25" customWidth="1"/>
    <col min="1560" max="1792" width="8.81640625" style="25"/>
    <col min="1793" max="1793" width="14.7265625" style="25" customWidth="1"/>
    <col min="1794" max="1794" width="33.1796875" style="25" customWidth="1"/>
    <col min="1795" max="1795" width="10.7265625" style="25" customWidth="1"/>
    <col min="1796" max="1796" width="10.453125" style="25" customWidth="1"/>
    <col min="1797" max="1797" width="12.26953125" style="25" customWidth="1"/>
    <col min="1798" max="1798" width="9" style="25" customWidth="1"/>
    <col min="1799" max="1799" width="18" style="25" customWidth="1"/>
    <col min="1800" max="1801" width="7.453125" style="25" customWidth="1"/>
    <col min="1802" max="1802" width="0" style="25" hidden="1" customWidth="1"/>
    <col min="1803" max="1803" width="18.7265625" style="25" customWidth="1"/>
    <col min="1804" max="1804" width="20.453125" style="25" customWidth="1"/>
    <col min="1805" max="1805" width="0.54296875" style="25" customWidth="1"/>
    <col min="1806" max="1806" width="20.26953125" style="25" customWidth="1"/>
    <col min="1807" max="1815" width="8.81640625" style="25" customWidth="1"/>
    <col min="1816" max="2048" width="8.81640625" style="25"/>
    <col min="2049" max="2049" width="14.7265625" style="25" customWidth="1"/>
    <col min="2050" max="2050" width="33.1796875" style="25" customWidth="1"/>
    <col min="2051" max="2051" width="10.7265625" style="25" customWidth="1"/>
    <col min="2052" max="2052" width="10.453125" style="25" customWidth="1"/>
    <col min="2053" max="2053" width="12.26953125" style="25" customWidth="1"/>
    <col min="2054" max="2054" width="9" style="25" customWidth="1"/>
    <col min="2055" max="2055" width="18" style="25" customWidth="1"/>
    <col min="2056" max="2057" width="7.453125" style="25" customWidth="1"/>
    <col min="2058" max="2058" width="0" style="25" hidden="1" customWidth="1"/>
    <col min="2059" max="2059" width="18.7265625" style="25" customWidth="1"/>
    <col min="2060" max="2060" width="20.453125" style="25" customWidth="1"/>
    <col min="2061" max="2061" width="0.54296875" style="25" customWidth="1"/>
    <col min="2062" max="2062" width="20.26953125" style="25" customWidth="1"/>
    <col min="2063" max="2071" width="8.81640625" style="25" customWidth="1"/>
    <col min="2072" max="2304" width="8.81640625" style="25"/>
    <col min="2305" max="2305" width="14.7265625" style="25" customWidth="1"/>
    <col min="2306" max="2306" width="33.1796875" style="25" customWidth="1"/>
    <col min="2307" max="2307" width="10.7265625" style="25" customWidth="1"/>
    <col min="2308" max="2308" width="10.453125" style="25" customWidth="1"/>
    <col min="2309" max="2309" width="12.26953125" style="25" customWidth="1"/>
    <col min="2310" max="2310" width="9" style="25" customWidth="1"/>
    <col min="2311" max="2311" width="18" style="25" customWidth="1"/>
    <col min="2312" max="2313" width="7.453125" style="25" customWidth="1"/>
    <col min="2314" max="2314" width="0" style="25" hidden="1" customWidth="1"/>
    <col min="2315" max="2315" width="18.7265625" style="25" customWidth="1"/>
    <col min="2316" max="2316" width="20.453125" style="25" customWidth="1"/>
    <col min="2317" max="2317" width="0.54296875" style="25" customWidth="1"/>
    <col min="2318" max="2318" width="20.26953125" style="25" customWidth="1"/>
    <col min="2319" max="2327" width="8.81640625" style="25" customWidth="1"/>
    <col min="2328" max="2560" width="8.81640625" style="25"/>
    <col min="2561" max="2561" width="14.7265625" style="25" customWidth="1"/>
    <col min="2562" max="2562" width="33.1796875" style="25" customWidth="1"/>
    <col min="2563" max="2563" width="10.7265625" style="25" customWidth="1"/>
    <col min="2564" max="2564" width="10.453125" style="25" customWidth="1"/>
    <col min="2565" max="2565" width="12.26953125" style="25" customWidth="1"/>
    <col min="2566" max="2566" width="9" style="25" customWidth="1"/>
    <col min="2567" max="2567" width="18" style="25" customWidth="1"/>
    <col min="2568" max="2569" width="7.453125" style="25" customWidth="1"/>
    <col min="2570" max="2570" width="0" style="25" hidden="1" customWidth="1"/>
    <col min="2571" max="2571" width="18.7265625" style="25" customWidth="1"/>
    <col min="2572" max="2572" width="20.453125" style="25" customWidth="1"/>
    <col min="2573" max="2573" width="0.54296875" style="25" customWidth="1"/>
    <col min="2574" max="2574" width="20.26953125" style="25" customWidth="1"/>
    <col min="2575" max="2583" width="8.81640625" style="25" customWidth="1"/>
    <col min="2584" max="2816" width="8.81640625" style="25"/>
    <col min="2817" max="2817" width="14.7265625" style="25" customWidth="1"/>
    <col min="2818" max="2818" width="33.1796875" style="25" customWidth="1"/>
    <col min="2819" max="2819" width="10.7265625" style="25" customWidth="1"/>
    <col min="2820" max="2820" width="10.453125" style="25" customWidth="1"/>
    <col min="2821" max="2821" width="12.26953125" style="25" customWidth="1"/>
    <col min="2822" max="2822" width="9" style="25" customWidth="1"/>
    <col min="2823" max="2823" width="18" style="25" customWidth="1"/>
    <col min="2824" max="2825" width="7.453125" style="25" customWidth="1"/>
    <col min="2826" max="2826" width="0" style="25" hidden="1" customWidth="1"/>
    <col min="2827" max="2827" width="18.7265625" style="25" customWidth="1"/>
    <col min="2828" max="2828" width="20.453125" style="25" customWidth="1"/>
    <col min="2829" max="2829" width="0.54296875" style="25" customWidth="1"/>
    <col min="2830" max="2830" width="20.26953125" style="25" customWidth="1"/>
    <col min="2831" max="2839" width="8.81640625" style="25" customWidth="1"/>
    <col min="2840" max="3072" width="8.81640625" style="25"/>
    <col min="3073" max="3073" width="14.7265625" style="25" customWidth="1"/>
    <col min="3074" max="3074" width="33.1796875" style="25" customWidth="1"/>
    <col min="3075" max="3075" width="10.7265625" style="25" customWidth="1"/>
    <col min="3076" max="3076" width="10.453125" style="25" customWidth="1"/>
    <col min="3077" max="3077" width="12.26953125" style="25" customWidth="1"/>
    <col min="3078" max="3078" width="9" style="25" customWidth="1"/>
    <col min="3079" max="3079" width="18" style="25" customWidth="1"/>
    <col min="3080" max="3081" width="7.453125" style="25" customWidth="1"/>
    <col min="3082" max="3082" width="0" style="25" hidden="1" customWidth="1"/>
    <col min="3083" max="3083" width="18.7265625" style="25" customWidth="1"/>
    <col min="3084" max="3084" width="20.453125" style="25" customWidth="1"/>
    <col min="3085" max="3085" width="0.54296875" style="25" customWidth="1"/>
    <col min="3086" max="3086" width="20.26953125" style="25" customWidth="1"/>
    <col min="3087" max="3095" width="8.81640625" style="25" customWidth="1"/>
    <col min="3096" max="3328" width="8.81640625" style="25"/>
    <col min="3329" max="3329" width="14.7265625" style="25" customWidth="1"/>
    <col min="3330" max="3330" width="33.1796875" style="25" customWidth="1"/>
    <col min="3331" max="3331" width="10.7265625" style="25" customWidth="1"/>
    <col min="3332" max="3332" width="10.453125" style="25" customWidth="1"/>
    <col min="3333" max="3333" width="12.26953125" style="25" customWidth="1"/>
    <col min="3334" max="3334" width="9" style="25" customWidth="1"/>
    <col min="3335" max="3335" width="18" style="25" customWidth="1"/>
    <col min="3336" max="3337" width="7.453125" style="25" customWidth="1"/>
    <col min="3338" max="3338" width="0" style="25" hidden="1" customWidth="1"/>
    <col min="3339" max="3339" width="18.7265625" style="25" customWidth="1"/>
    <col min="3340" max="3340" width="20.453125" style="25" customWidth="1"/>
    <col min="3341" max="3341" width="0.54296875" style="25" customWidth="1"/>
    <col min="3342" max="3342" width="20.26953125" style="25" customWidth="1"/>
    <col min="3343" max="3351" width="8.81640625" style="25" customWidth="1"/>
    <col min="3352" max="3584" width="8.81640625" style="25"/>
    <col min="3585" max="3585" width="14.7265625" style="25" customWidth="1"/>
    <col min="3586" max="3586" width="33.1796875" style="25" customWidth="1"/>
    <col min="3587" max="3587" width="10.7265625" style="25" customWidth="1"/>
    <col min="3588" max="3588" width="10.453125" style="25" customWidth="1"/>
    <col min="3589" max="3589" width="12.26953125" style="25" customWidth="1"/>
    <col min="3590" max="3590" width="9" style="25" customWidth="1"/>
    <col min="3591" max="3591" width="18" style="25" customWidth="1"/>
    <col min="3592" max="3593" width="7.453125" style="25" customWidth="1"/>
    <col min="3594" max="3594" width="0" style="25" hidden="1" customWidth="1"/>
    <col min="3595" max="3595" width="18.7265625" style="25" customWidth="1"/>
    <col min="3596" max="3596" width="20.453125" style="25" customWidth="1"/>
    <col min="3597" max="3597" width="0.54296875" style="25" customWidth="1"/>
    <col min="3598" max="3598" width="20.26953125" style="25" customWidth="1"/>
    <col min="3599" max="3607" width="8.81640625" style="25" customWidth="1"/>
    <col min="3608" max="3840" width="8.81640625" style="25"/>
    <col min="3841" max="3841" width="14.7265625" style="25" customWidth="1"/>
    <col min="3842" max="3842" width="33.1796875" style="25" customWidth="1"/>
    <col min="3843" max="3843" width="10.7265625" style="25" customWidth="1"/>
    <col min="3844" max="3844" width="10.453125" style="25" customWidth="1"/>
    <col min="3845" max="3845" width="12.26953125" style="25" customWidth="1"/>
    <col min="3846" max="3846" width="9" style="25" customWidth="1"/>
    <col min="3847" max="3847" width="18" style="25" customWidth="1"/>
    <col min="3848" max="3849" width="7.453125" style="25" customWidth="1"/>
    <col min="3850" max="3850" width="0" style="25" hidden="1" customWidth="1"/>
    <col min="3851" max="3851" width="18.7265625" style="25" customWidth="1"/>
    <col min="3852" max="3852" width="20.453125" style="25" customWidth="1"/>
    <col min="3853" max="3853" width="0.54296875" style="25" customWidth="1"/>
    <col min="3854" max="3854" width="20.26953125" style="25" customWidth="1"/>
    <col min="3855" max="3863" width="8.81640625" style="25" customWidth="1"/>
    <col min="3864" max="4096" width="8.81640625" style="25"/>
    <col min="4097" max="4097" width="14.7265625" style="25" customWidth="1"/>
    <col min="4098" max="4098" width="33.1796875" style="25" customWidth="1"/>
    <col min="4099" max="4099" width="10.7265625" style="25" customWidth="1"/>
    <col min="4100" max="4100" width="10.453125" style="25" customWidth="1"/>
    <col min="4101" max="4101" width="12.26953125" style="25" customWidth="1"/>
    <col min="4102" max="4102" width="9" style="25" customWidth="1"/>
    <col min="4103" max="4103" width="18" style="25" customWidth="1"/>
    <col min="4104" max="4105" width="7.453125" style="25" customWidth="1"/>
    <col min="4106" max="4106" width="0" style="25" hidden="1" customWidth="1"/>
    <col min="4107" max="4107" width="18.7265625" style="25" customWidth="1"/>
    <col min="4108" max="4108" width="20.453125" style="25" customWidth="1"/>
    <col min="4109" max="4109" width="0.54296875" style="25" customWidth="1"/>
    <col min="4110" max="4110" width="20.26953125" style="25" customWidth="1"/>
    <col min="4111" max="4119" width="8.81640625" style="25" customWidth="1"/>
    <col min="4120" max="4352" width="8.81640625" style="25"/>
    <col min="4353" max="4353" width="14.7265625" style="25" customWidth="1"/>
    <col min="4354" max="4354" width="33.1796875" style="25" customWidth="1"/>
    <col min="4355" max="4355" width="10.7265625" style="25" customWidth="1"/>
    <col min="4356" max="4356" width="10.453125" style="25" customWidth="1"/>
    <col min="4357" max="4357" width="12.26953125" style="25" customWidth="1"/>
    <col min="4358" max="4358" width="9" style="25" customWidth="1"/>
    <col min="4359" max="4359" width="18" style="25" customWidth="1"/>
    <col min="4360" max="4361" width="7.453125" style="25" customWidth="1"/>
    <col min="4362" max="4362" width="0" style="25" hidden="1" customWidth="1"/>
    <col min="4363" max="4363" width="18.7265625" style="25" customWidth="1"/>
    <col min="4364" max="4364" width="20.453125" style="25" customWidth="1"/>
    <col min="4365" max="4365" width="0.54296875" style="25" customWidth="1"/>
    <col min="4366" max="4366" width="20.26953125" style="25" customWidth="1"/>
    <col min="4367" max="4375" width="8.81640625" style="25" customWidth="1"/>
    <col min="4376" max="4608" width="8.81640625" style="25"/>
    <col min="4609" max="4609" width="14.7265625" style="25" customWidth="1"/>
    <col min="4610" max="4610" width="33.1796875" style="25" customWidth="1"/>
    <col min="4611" max="4611" width="10.7265625" style="25" customWidth="1"/>
    <col min="4612" max="4612" width="10.453125" style="25" customWidth="1"/>
    <col min="4613" max="4613" width="12.26953125" style="25" customWidth="1"/>
    <col min="4614" max="4614" width="9" style="25" customWidth="1"/>
    <col min="4615" max="4615" width="18" style="25" customWidth="1"/>
    <col min="4616" max="4617" width="7.453125" style="25" customWidth="1"/>
    <col min="4618" max="4618" width="0" style="25" hidden="1" customWidth="1"/>
    <col min="4619" max="4619" width="18.7265625" style="25" customWidth="1"/>
    <col min="4620" max="4620" width="20.453125" style="25" customWidth="1"/>
    <col min="4621" max="4621" width="0.54296875" style="25" customWidth="1"/>
    <col min="4622" max="4622" width="20.26953125" style="25" customWidth="1"/>
    <col min="4623" max="4631" width="8.81640625" style="25" customWidth="1"/>
    <col min="4632" max="4864" width="8.81640625" style="25"/>
    <col min="4865" max="4865" width="14.7265625" style="25" customWidth="1"/>
    <col min="4866" max="4866" width="33.1796875" style="25" customWidth="1"/>
    <col min="4867" max="4867" width="10.7265625" style="25" customWidth="1"/>
    <col min="4868" max="4868" width="10.453125" style="25" customWidth="1"/>
    <col min="4869" max="4869" width="12.26953125" style="25" customWidth="1"/>
    <col min="4870" max="4870" width="9" style="25" customWidth="1"/>
    <col min="4871" max="4871" width="18" style="25" customWidth="1"/>
    <col min="4872" max="4873" width="7.453125" style="25" customWidth="1"/>
    <col min="4874" max="4874" width="0" style="25" hidden="1" customWidth="1"/>
    <col min="4875" max="4875" width="18.7265625" style="25" customWidth="1"/>
    <col min="4876" max="4876" width="20.453125" style="25" customWidth="1"/>
    <col min="4877" max="4877" width="0.54296875" style="25" customWidth="1"/>
    <col min="4878" max="4878" width="20.26953125" style="25" customWidth="1"/>
    <col min="4879" max="4887" width="8.81640625" style="25" customWidth="1"/>
    <col min="4888" max="5120" width="8.81640625" style="25"/>
    <col min="5121" max="5121" width="14.7265625" style="25" customWidth="1"/>
    <col min="5122" max="5122" width="33.1796875" style="25" customWidth="1"/>
    <col min="5123" max="5123" width="10.7265625" style="25" customWidth="1"/>
    <col min="5124" max="5124" width="10.453125" style="25" customWidth="1"/>
    <col min="5125" max="5125" width="12.26953125" style="25" customWidth="1"/>
    <col min="5126" max="5126" width="9" style="25" customWidth="1"/>
    <col min="5127" max="5127" width="18" style="25" customWidth="1"/>
    <col min="5128" max="5129" width="7.453125" style="25" customWidth="1"/>
    <col min="5130" max="5130" width="0" style="25" hidden="1" customWidth="1"/>
    <col min="5131" max="5131" width="18.7265625" style="25" customWidth="1"/>
    <col min="5132" max="5132" width="20.453125" style="25" customWidth="1"/>
    <col min="5133" max="5133" width="0.54296875" style="25" customWidth="1"/>
    <col min="5134" max="5134" width="20.26953125" style="25" customWidth="1"/>
    <col min="5135" max="5143" width="8.81640625" style="25" customWidth="1"/>
    <col min="5144" max="5376" width="8.81640625" style="25"/>
    <col min="5377" max="5377" width="14.7265625" style="25" customWidth="1"/>
    <col min="5378" max="5378" width="33.1796875" style="25" customWidth="1"/>
    <col min="5379" max="5379" width="10.7265625" style="25" customWidth="1"/>
    <col min="5380" max="5380" width="10.453125" style="25" customWidth="1"/>
    <col min="5381" max="5381" width="12.26953125" style="25" customWidth="1"/>
    <col min="5382" max="5382" width="9" style="25" customWidth="1"/>
    <col min="5383" max="5383" width="18" style="25" customWidth="1"/>
    <col min="5384" max="5385" width="7.453125" style="25" customWidth="1"/>
    <col min="5386" max="5386" width="0" style="25" hidden="1" customWidth="1"/>
    <col min="5387" max="5387" width="18.7265625" style="25" customWidth="1"/>
    <col min="5388" max="5388" width="20.453125" style="25" customWidth="1"/>
    <col min="5389" max="5389" width="0.54296875" style="25" customWidth="1"/>
    <col min="5390" max="5390" width="20.26953125" style="25" customWidth="1"/>
    <col min="5391" max="5399" width="8.81640625" style="25" customWidth="1"/>
    <col min="5400" max="5632" width="8.81640625" style="25"/>
    <col min="5633" max="5633" width="14.7265625" style="25" customWidth="1"/>
    <col min="5634" max="5634" width="33.1796875" style="25" customWidth="1"/>
    <col min="5635" max="5635" width="10.7265625" style="25" customWidth="1"/>
    <col min="5636" max="5636" width="10.453125" style="25" customWidth="1"/>
    <col min="5637" max="5637" width="12.26953125" style="25" customWidth="1"/>
    <col min="5638" max="5638" width="9" style="25" customWidth="1"/>
    <col min="5639" max="5639" width="18" style="25" customWidth="1"/>
    <col min="5640" max="5641" width="7.453125" style="25" customWidth="1"/>
    <col min="5642" max="5642" width="0" style="25" hidden="1" customWidth="1"/>
    <col min="5643" max="5643" width="18.7265625" style="25" customWidth="1"/>
    <col min="5644" max="5644" width="20.453125" style="25" customWidth="1"/>
    <col min="5645" max="5645" width="0.54296875" style="25" customWidth="1"/>
    <col min="5646" max="5646" width="20.26953125" style="25" customWidth="1"/>
    <col min="5647" max="5655" width="8.81640625" style="25" customWidth="1"/>
    <col min="5656" max="5888" width="8.81640625" style="25"/>
    <col min="5889" max="5889" width="14.7265625" style="25" customWidth="1"/>
    <col min="5890" max="5890" width="33.1796875" style="25" customWidth="1"/>
    <col min="5891" max="5891" width="10.7265625" style="25" customWidth="1"/>
    <col min="5892" max="5892" width="10.453125" style="25" customWidth="1"/>
    <col min="5893" max="5893" width="12.26953125" style="25" customWidth="1"/>
    <col min="5894" max="5894" width="9" style="25" customWidth="1"/>
    <col min="5895" max="5895" width="18" style="25" customWidth="1"/>
    <col min="5896" max="5897" width="7.453125" style="25" customWidth="1"/>
    <col min="5898" max="5898" width="0" style="25" hidden="1" customWidth="1"/>
    <col min="5899" max="5899" width="18.7265625" style="25" customWidth="1"/>
    <col min="5900" max="5900" width="20.453125" style="25" customWidth="1"/>
    <col min="5901" max="5901" width="0.54296875" style="25" customWidth="1"/>
    <col min="5902" max="5902" width="20.26953125" style="25" customWidth="1"/>
    <col min="5903" max="5911" width="8.81640625" style="25" customWidth="1"/>
    <col min="5912" max="6144" width="8.81640625" style="25"/>
    <col min="6145" max="6145" width="14.7265625" style="25" customWidth="1"/>
    <col min="6146" max="6146" width="33.1796875" style="25" customWidth="1"/>
    <col min="6147" max="6147" width="10.7265625" style="25" customWidth="1"/>
    <col min="6148" max="6148" width="10.453125" style="25" customWidth="1"/>
    <col min="6149" max="6149" width="12.26953125" style="25" customWidth="1"/>
    <col min="6150" max="6150" width="9" style="25" customWidth="1"/>
    <col min="6151" max="6151" width="18" style="25" customWidth="1"/>
    <col min="6152" max="6153" width="7.453125" style="25" customWidth="1"/>
    <col min="6154" max="6154" width="0" style="25" hidden="1" customWidth="1"/>
    <col min="6155" max="6155" width="18.7265625" style="25" customWidth="1"/>
    <col min="6156" max="6156" width="20.453125" style="25" customWidth="1"/>
    <col min="6157" max="6157" width="0.54296875" style="25" customWidth="1"/>
    <col min="6158" max="6158" width="20.26953125" style="25" customWidth="1"/>
    <col min="6159" max="6167" width="8.81640625" style="25" customWidth="1"/>
    <col min="6168" max="6400" width="8.81640625" style="25"/>
    <col min="6401" max="6401" width="14.7265625" style="25" customWidth="1"/>
    <col min="6402" max="6402" width="33.1796875" style="25" customWidth="1"/>
    <col min="6403" max="6403" width="10.7265625" style="25" customWidth="1"/>
    <col min="6404" max="6404" width="10.453125" style="25" customWidth="1"/>
    <col min="6405" max="6405" width="12.26953125" style="25" customWidth="1"/>
    <col min="6406" max="6406" width="9" style="25" customWidth="1"/>
    <col min="6407" max="6407" width="18" style="25" customWidth="1"/>
    <col min="6408" max="6409" width="7.453125" style="25" customWidth="1"/>
    <col min="6410" max="6410" width="0" style="25" hidden="1" customWidth="1"/>
    <col min="6411" max="6411" width="18.7265625" style="25" customWidth="1"/>
    <col min="6412" max="6412" width="20.453125" style="25" customWidth="1"/>
    <col min="6413" max="6413" width="0.54296875" style="25" customWidth="1"/>
    <col min="6414" max="6414" width="20.26953125" style="25" customWidth="1"/>
    <col min="6415" max="6423" width="8.81640625" style="25" customWidth="1"/>
    <col min="6424" max="6656" width="8.81640625" style="25"/>
    <col min="6657" max="6657" width="14.7265625" style="25" customWidth="1"/>
    <col min="6658" max="6658" width="33.1796875" style="25" customWidth="1"/>
    <col min="6659" max="6659" width="10.7265625" style="25" customWidth="1"/>
    <col min="6660" max="6660" width="10.453125" style="25" customWidth="1"/>
    <col min="6661" max="6661" width="12.26953125" style="25" customWidth="1"/>
    <col min="6662" max="6662" width="9" style="25" customWidth="1"/>
    <col min="6663" max="6663" width="18" style="25" customWidth="1"/>
    <col min="6664" max="6665" width="7.453125" style="25" customWidth="1"/>
    <col min="6666" max="6666" width="0" style="25" hidden="1" customWidth="1"/>
    <col min="6667" max="6667" width="18.7265625" style="25" customWidth="1"/>
    <col min="6668" max="6668" width="20.453125" style="25" customWidth="1"/>
    <col min="6669" max="6669" width="0.54296875" style="25" customWidth="1"/>
    <col min="6670" max="6670" width="20.26953125" style="25" customWidth="1"/>
    <col min="6671" max="6679" width="8.81640625" style="25" customWidth="1"/>
    <col min="6680" max="6912" width="8.81640625" style="25"/>
    <col min="6913" max="6913" width="14.7265625" style="25" customWidth="1"/>
    <col min="6914" max="6914" width="33.1796875" style="25" customWidth="1"/>
    <col min="6915" max="6915" width="10.7265625" style="25" customWidth="1"/>
    <col min="6916" max="6916" width="10.453125" style="25" customWidth="1"/>
    <col min="6917" max="6917" width="12.26953125" style="25" customWidth="1"/>
    <col min="6918" max="6918" width="9" style="25" customWidth="1"/>
    <col min="6919" max="6919" width="18" style="25" customWidth="1"/>
    <col min="6920" max="6921" width="7.453125" style="25" customWidth="1"/>
    <col min="6922" max="6922" width="0" style="25" hidden="1" customWidth="1"/>
    <col min="6923" max="6923" width="18.7265625" style="25" customWidth="1"/>
    <col min="6924" max="6924" width="20.453125" style="25" customWidth="1"/>
    <col min="6925" max="6925" width="0.54296875" style="25" customWidth="1"/>
    <col min="6926" max="6926" width="20.26953125" style="25" customWidth="1"/>
    <col min="6927" max="6935" width="8.81640625" style="25" customWidth="1"/>
    <col min="6936" max="7168" width="8.81640625" style="25"/>
    <col min="7169" max="7169" width="14.7265625" style="25" customWidth="1"/>
    <col min="7170" max="7170" width="33.1796875" style="25" customWidth="1"/>
    <col min="7171" max="7171" width="10.7265625" style="25" customWidth="1"/>
    <col min="7172" max="7172" width="10.453125" style="25" customWidth="1"/>
    <col min="7173" max="7173" width="12.26953125" style="25" customWidth="1"/>
    <col min="7174" max="7174" width="9" style="25" customWidth="1"/>
    <col min="7175" max="7175" width="18" style="25" customWidth="1"/>
    <col min="7176" max="7177" width="7.453125" style="25" customWidth="1"/>
    <col min="7178" max="7178" width="0" style="25" hidden="1" customWidth="1"/>
    <col min="7179" max="7179" width="18.7265625" style="25" customWidth="1"/>
    <col min="7180" max="7180" width="20.453125" style="25" customWidth="1"/>
    <col min="7181" max="7181" width="0.54296875" style="25" customWidth="1"/>
    <col min="7182" max="7182" width="20.26953125" style="25" customWidth="1"/>
    <col min="7183" max="7191" width="8.81640625" style="25" customWidth="1"/>
    <col min="7192" max="7424" width="8.81640625" style="25"/>
    <col min="7425" max="7425" width="14.7265625" style="25" customWidth="1"/>
    <col min="7426" max="7426" width="33.1796875" style="25" customWidth="1"/>
    <col min="7427" max="7427" width="10.7265625" style="25" customWidth="1"/>
    <col min="7428" max="7428" width="10.453125" style="25" customWidth="1"/>
    <col min="7429" max="7429" width="12.26953125" style="25" customWidth="1"/>
    <col min="7430" max="7430" width="9" style="25" customWidth="1"/>
    <col min="7431" max="7431" width="18" style="25" customWidth="1"/>
    <col min="7432" max="7433" width="7.453125" style="25" customWidth="1"/>
    <col min="7434" max="7434" width="0" style="25" hidden="1" customWidth="1"/>
    <col min="7435" max="7435" width="18.7265625" style="25" customWidth="1"/>
    <col min="7436" max="7436" width="20.453125" style="25" customWidth="1"/>
    <col min="7437" max="7437" width="0.54296875" style="25" customWidth="1"/>
    <col min="7438" max="7438" width="20.26953125" style="25" customWidth="1"/>
    <col min="7439" max="7447" width="8.81640625" style="25" customWidth="1"/>
    <col min="7448" max="7680" width="8.81640625" style="25"/>
    <col min="7681" max="7681" width="14.7265625" style="25" customWidth="1"/>
    <col min="7682" max="7682" width="33.1796875" style="25" customWidth="1"/>
    <col min="7683" max="7683" width="10.7265625" style="25" customWidth="1"/>
    <col min="7684" max="7684" width="10.453125" style="25" customWidth="1"/>
    <col min="7685" max="7685" width="12.26953125" style="25" customWidth="1"/>
    <col min="7686" max="7686" width="9" style="25" customWidth="1"/>
    <col min="7687" max="7687" width="18" style="25" customWidth="1"/>
    <col min="7688" max="7689" width="7.453125" style="25" customWidth="1"/>
    <col min="7690" max="7690" width="0" style="25" hidden="1" customWidth="1"/>
    <col min="7691" max="7691" width="18.7265625" style="25" customWidth="1"/>
    <col min="7692" max="7692" width="20.453125" style="25" customWidth="1"/>
    <col min="7693" max="7693" width="0.54296875" style="25" customWidth="1"/>
    <col min="7694" max="7694" width="20.26953125" style="25" customWidth="1"/>
    <col min="7695" max="7703" width="8.81640625" style="25" customWidth="1"/>
    <col min="7704" max="7936" width="8.81640625" style="25"/>
    <col min="7937" max="7937" width="14.7265625" style="25" customWidth="1"/>
    <col min="7938" max="7938" width="33.1796875" style="25" customWidth="1"/>
    <col min="7939" max="7939" width="10.7265625" style="25" customWidth="1"/>
    <col min="7940" max="7940" width="10.453125" style="25" customWidth="1"/>
    <col min="7941" max="7941" width="12.26953125" style="25" customWidth="1"/>
    <col min="7942" max="7942" width="9" style="25" customWidth="1"/>
    <col min="7943" max="7943" width="18" style="25" customWidth="1"/>
    <col min="7944" max="7945" width="7.453125" style="25" customWidth="1"/>
    <col min="7946" max="7946" width="0" style="25" hidden="1" customWidth="1"/>
    <col min="7947" max="7947" width="18.7265625" style="25" customWidth="1"/>
    <col min="7948" max="7948" width="20.453125" style="25" customWidth="1"/>
    <col min="7949" max="7949" width="0.54296875" style="25" customWidth="1"/>
    <col min="7950" max="7950" width="20.26953125" style="25" customWidth="1"/>
    <col min="7951" max="7959" width="8.81640625" style="25" customWidth="1"/>
    <col min="7960" max="8192" width="8.81640625" style="25"/>
    <col min="8193" max="8193" width="14.7265625" style="25" customWidth="1"/>
    <col min="8194" max="8194" width="33.1796875" style="25" customWidth="1"/>
    <col min="8195" max="8195" width="10.7265625" style="25" customWidth="1"/>
    <col min="8196" max="8196" width="10.453125" style="25" customWidth="1"/>
    <col min="8197" max="8197" width="12.26953125" style="25" customWidth="1"/>
    <col min="8198" max="8198" width="9" style="25" customWidth="1"/>
    <col min="8199" max="8199" width="18" style="25" customWidth="1"/>
    <col min="8200" max="8201" width="7.453125" style="25" customWidth="1"/>
    <col min="8202" max="8202" width="0" style="25" hidden="1" customWidth="1"/>
    <col min="8203" max="8203" width="18.7265625" style="25" customWidth="1"/>
    <col min="8204" max="8204" width="20.453125" style="25" customWidth="1"/>
    <col min="8205" max="8205" width="0.54296875" style="25" customWidth="1"/>
    <col min="8206" max="8206" width="20.26953125" style="25" customWidth="1"/>
    <col min="8207" max="8215" width="8.81640625" style="25" customWidth="1"/>
    <col min="8216" max="8448" width="8.81640625" style="25"/>
    <col min="8449" max="8449" width="14.7265625" style="25" customWidth="1"/>
    <col min="8450" max="8450" width="33.1796875" style="25" customWidth="1"/>
    <col min="8451" max="8451" width="10.7265625" style="25" customWidth="1"/>
    <col min="8452" max="8452" width="10.453125" style="25" customWidth="1"/>
    <col min="8453" max="8453" width="12.26953125" style="25" customWidth="1"/>
    <col min="8454" max="8454" width="9" style="25" customWidth="1"/>
    <col min="8455" max="8455" width="18" style="25" customWidth="1"/>
    <col min="8456" max="8457" width="7.453125" style="25" customWidth="1"/>
    <col min="8458" max="8458" width="0" style="25" hidden="1" customWidth="1"/>
    <col min="8459" max="8459" width="18.7265625" style="25" customWidth="1"/>
    <col min="8460" max="8460" width="20.453125" style="25" customWidth="1"/>
    <col min="8461" max="8461" width="0.54296875" style="25" customWidth="1"/>
    <col min="8462" max="8462" width="20.26953125" style="25" customWidth="1"/>
    <col min="8463" max="8471" width="8.81640625" style="25" customWidth="1"/>
    <col min="8472" max="8704" width="8.81640625" style="25"/>
    <col min="8705" max="8705" width="14.7265625" style="25" customWidth="1"/>
    <col min="8706" max="8706" width="33.1796875" style="25" customWidth="1"/>
    <col min="8707" max="8707" width="10.7265625" style="25" customWidth="1"/>
    <col min="8708" max="8708" width="10.453125" style="25" customWidth="1"/>
    <col min="8709" max="8709" width="12.26953125" style="25" customWidth="1"/>
    <col min="8710" max="8710" width="9" style="25" customWidth="1"/>
    <col min="8711" max="8711" width="18" style="25" customWidth="1"/>
    <col min="8712" max="8713" width="7.453125" style="25" customWidth="1"/>
    <col min="8714" max="8714" width="0" style="25" hidden="1" customWidth="1"/>
    <col min="8715" max="8715" width="18.7265625" style="25" customWidth="1"/>
    <col min="8716" max="8716" width="20.453125" style="25" customWidth="1"/>
    <col min="8717" max="8717" width="0.54296875" style="25" customWidth="1"/>
    <col min="8718" max="8718" width="20.26953125" style="25" customWidth="1"/>
    <col min="8719" max="8727" width="8.81640625" style="25" customWidth="1"/>
    <col min="8728" max="8960" width="8.81640625" style="25"/>
    <col min="8961" max="8961" width="14.7265625" style="25" customWidth="1"/>
    <col min="8962" max="8962" width="33.1796875" style="25" customWidth="1"/>
    <col min="8963" max="8963" width="10.7265625" style="25" customWidth="1"/>
    <col min="8964" max="8964" width="10.453125" style="25" customWidth="1"/>
    <col min="8965" max="8965" width="12.26953125" style="25" customWidth="1"/>
    <col min="8966" max="8966" width="9" style="25" customWidth="1"/>
    <col min="8967" max="8967" width="18" style="25" customWidth="1"/>
    <col min="8968" max="8969" width="7.453125" style="25" customWidth="1"/>
    <col min="8970" max="8970" width="0" style="25" hidden="1" customWidth="1"/>
    <col min="8971" max="8971" width="18.7265625" style="25" customWidth="1"/>
    <col min="8972" max="8972" width="20.453125" style="25" customWidth="1"/>
    <col min="8973" max="8973" width="0.54296875" style="25" customWidth="1"/>
    <col min="8974" max="8974" width="20.26953125" style="25" customWidth="1"/>
    <col min="8975" max="8983" width="8.81640625" style="25" customWidth="1"/>
    <col min="8984" max="9216" width="8.81640625" style="25"/>
    <col min="9217" max="9217" width="14.7265625" style="25" customWidth="1"/>
    <col min="9218" max="9218" width="33.1796875" style="25" customWidth="1"/>
    <col min="9219" max="9219" width="10.7265625" style="25" customWidth="1"/>
    <col min="9220" max="9220" width="10.453125" style="25" customWidth="1"/>
    <col min="9221" max="9221" width="12.26953125" style="25" customWidth="1"/>
    <col min="9222" max="9222" width="9" style="25" customWidth="1"/>
    <col min="9223" max="9223" width="18" style="25" customWidth="1"/>
    <col min="9224" max="9225" width="7.453125" style="25" customWidth="1"/>
    <col min="9226" max="9226" width="0" style="25" hidden="1" customWidth="1"/>
    <col min="9227" max="9227" width="18.7265625" style="25" customWidth="1"/>
    <col min="9228" max="9228" width="20.453125" style="25" customWidth="1"/>
    <col min="9229" max="9229" width="0.54296875" style="25" customWidth="1"/>
    <col min="9230" max="9230" width="20.26953125" style="25" customWidth="1"/>
    <col min="9231" max="9239" width="8.81640625" style="25" customWidth="1"/>
    <col min="9240" max="9472" width="8.81640625" style="25"/>
    <col min="9473" max="9473" width="14.7265625" style="25" customWidth="1"/>
    <col min="9474" max="9474" width="33.1796875" style="25" customWidth="1"/>
    <col min="9475" max="9475" width="10.7265625" style="25" customWidth="1"/>
    <col min="9476" max="9476" width="10.453125" style="25" customWidth="1"/>
    <col min="9477" max="9477" width="12.26953125" style="25" customWidth="1"/>
    <col min="9478" max="9478" width="9" style="25" customWidth="1"/>
    <col min="9479" max="9479" width="18" style="25" customWidth="1"/>
    <col min="9480" max="9481" width="7.453125" style="25" customWidth="1"/>
    <col min="9482" max="9482" width="0" style="25" hidden="1" customWidth="1"/>
    <col min="9483" max="9483" width="18.7265625" style="25" customWidth="1"/>
    <col min="9484" max="9484" width="20.453125" style="25" customWidth="1"/>
    <col min="9485" max="9485" width="0.54296875" style="25" customWidth="1"/>
    <col min="9486" max="9486" width="20.26953125" style="25" customWidth="1"/>
    <col min="9487" max="9495" width="8.81640625" style="25" customWidth="1"/>
    <col min="9496" max="9728" width="8.81640625" style="25"/>
    <col min="9729" max="9729" width="14.7265625" style="25" customWidth="1"/>
    <col min="9730" max="9730" width="33.1796875" style="25" customWidth="1"/>
    <col min="9731" max="9731" width="10.7265625" style="25" customWidth="1"/>
    <col min="9732" max="9732" width="10.453125" style="25" customWidth="1"/>
    <col min="9733" max="9733" width="12.26953125" style="25" customWidth="1"/>
    <col min="9734" max="9734" width="9" style="25" customWidth="1"/>
    <col min="9735" max="9735" width="18" style="25" customWidth="1"/>
    <col min="9736" max="9737" width="7.453125" style="25" customWidth="1"/>
    <col min="9738" max="9738" width="0" style="25" hidden="1" customWidth="1"/>
    <col min="9739" max="9739" width="18.7265625" style="25" customWidth="1"/>
    <col min="9740" max="9740" width="20.453125" style="25" customWidth="1"/>
    <col min="9741" max="9741" width="0.54296875" style="25" customWidth="1"/>
    <col min="9742" max="9742" width="20.26953125" style="25" customWidth="1"/>
    <col min="9743" max="9751" width="8.81640625" style="25" customWidth="1"/>
    <col min="9752" max="9984" width="8.81640625" style="25"/>
    <col min="9985" max="9985" width="14.7265625" style="25" customWidth="1"/>
    <col min="9986" max="9986" width="33.1796875" style="25" customWidth="1"/>
    <col min="9987" max="9987" width="10.7265625" style="25" customWidth="1"/>
    <col min="9988" max="9988" width="10.453125" style="25" customWidth="1"/>
    <col min="9989" max="9989" width="12.26953125" style="25" customWidth="1"/>
    <col min="9990" max="9990" width="9" style="25" customWidth="1"/>
    <col min="9991" max="9991" width="18" style="25" customWidth="1"/>
    <col min="9992" max="9993" width="7.453125" style="25" customWidth="1"/>
    <col min="9994" max="9994" width="0" style="25" hidden="1" customWidth="1"/>
    <col min="9995" max="9995" width="18.7265625" style="25" customWidth="1"/>
    <col min="9996" max="9996" width="20.453125" style="25" customWidth="1"/>
    <col min="9997" max="9997" width="0.54296875" style="25" customWidth="1"/>
    <col min="9998" max="9998" width="20.26953125" style="25" customWidth="1"/>
    <col min="9999" max="10007" width="8.81640625" style="25" customWidth="1"/>
    <col min="10008" max="10240" width="8.81640625" style="25"/>
    <col min="10241" max="10241" width="14.7265625" style="25" customWidth="1"/>
    <col min="10242" max="10242" width="33.1796875" style="25" customWidth="1"/>
    <col min="10243" max="10243" width="10.7265625" style="25" customWidth="1"/>
    <col min="10244" max="10244" width="10.453125" style="25" customWidth="1"/>
    <col min="10245" max="10245" width="12.26953125" style="25" customWidth="1"/>
    <col min="10246" max="10246" width="9" style="25" customWidth="1"/>
    <col min="10247" max="10247" width="18" style="25" customWidth="1"/>
    <col min="10248" max="10249" width="7.453125" style="25" customWidth="1"/>
    <col min="10250" max="10250" width="0" style="25" hidden="1" customWidth="1"/>
    <col min="10251" max="10251" width="18.7265625" style="25" customWidth="1"/>
    <col min="10252" max="10252" width="20.453125" style="25" customWidth="1"/>
    <col min="10253" max="10253" width="0.54296875" style="25" customWidth="1"/>
    <col min="10254" max="10254" width="20.26953125" style="25" customWidth="1"/>
    <col min="10255" max="10263" width="8.81640625" style="25" customWidth="1"/>
    <col min="10264" max="10496" width="8.81640625" style="25"/>
    <col min="10497" max="10497" width="14.7265625" style="25" customWidth="1"/>
    <col min="10498" max="10498" width="33.1796875" style="25" customWidth="1"/>
    <col min="10499" max="10499" width="10.7265625" style="25" customWidth="1"/>
    <col min="10500" max="10500" width="10.453125" style="25" customWidth="1"/>
    <col min="10501" max="10501" width="12.26953125" style="25" customWidth="1"/>
    <col min="10502" max="10502" width="9" style="25" customWidth="1"/>
    <col min="10503" max="10503" width="18" style="25" customWidth="1"/>
    <col min="10504" max="10505" width="7.453125" style="25" customWidth="1"/>
    <col min="10506" max="10506" width="0" style="25" hidden="1" customWidth="1"/>
    <col min="10507" max="10507" width="18.7265625" style="25" customWidth="1"/>
    <col min="10508" max="10508" width="20.453125" style="25" customWidth="1"/>
    <col min="10509" max="10509" width="0.54296875" style="25" customWidth="1"/>
    <col min="10510" max="10510" width="20.26953125" style="25" customWidth="1"/>
    <col min="10511" max="10519" width="8.81640625" style="25" customWidth="1"/>
    <col min="10520" max="10752" width="8.81640625" style="25"/>
    <col min="10753" max="10753" width="14.7265625" style="25" customWidth="1"/>
    <col min="10754" max="10754" width="33.1796875" style="25" customWidth="1"/>
    <col min="10755" max="10755" width="10.7265625" style="25" customWidth="1"/>
    <col min="10756" max="10756" width="10.453125" style="25" customWidth="1"/>
    <col min="10757" max="10757" width="12.26953125" style="25" customWidth="1"/>
    <col min="10758" max="10758" width="9" style="25" customWidth="1"/>
    <col min="10759" max="10759" width="18" style="25" customWidth="1"/>
    <col min="10760" max="10761" width="7.453125" style="25" customWidth="1"/>
    <col min="10762" max="10762" width="0" style="25" hidden="1" customWidth="1"/>
    <col min="10763" max="10763" width="18.7265625" style="25" customWidth="1"/>
    <col min="10764" max="10764" width="20.453125" style="25" customWidth="1"/>
    <col min="10765" max="10765" width="0.54296875" style="25" customWidth="1"/>
    <col min="10766" max="10766" width="20.26953125" style="25" customWidth="1"/>
    <col min="10767" max="10775" width="8.81640625" style="25" customWidth="1"/>
    <col min="10776" max="11008" width="8.81640625" style="25"/>
    <col min="11009" max="11009" width="14.7265625" style="25" customWidth="1"/>
    <col min="11010" max="11010" width="33.1796875" style="25" customWidth="1"/>
    <col min="11011" max="11011" width="10.7265625" style="25" customWidth="1"/>
    <col min="11012" max="11012" width="10.453125" style="25" customWidth="1"/>
    <col min="11013" max="11013" width="12.26953125" style="25" customWidth="1"/>
    <col min="11014" max="11014" width="9" style="25" customWidth="1"/>
    <col min="11015" max="11015" width="18" style="25" customWidth="1"/>
    <col min="11016" max="11017" width="7.453125" style="25" customWidth="1"/>
    <col min="11018" max="11018" width="0" style="25" hidden="1" customWidth="1"/>
    <col min="11019" max="11019" width="18.7265625" style="25" customWidth="1"/>
    <col min="11020" max="11020" width="20.453125" style="25" customWidth="1"/>
    <col min="11021" max="11021" width="0.54296875" style="25" customWidth="1"/>
    <col min="11022" max="11022" width="20.26953125" style="25" customWidth="1"/>
    <col min="11023" max="11031" width="8.81640625" style="25" customWidth="1"/>
    <col min="11032" max="11264" width="8.81640625" style="25"/>
    <col min="11265" max="11265" width="14.7265625" style="25" customWidth="1"/>
    <col min="11266" max="11266" width="33.1796875" style="25" customWidth="1"/>
    <col min="11267" max="11267" width="10.7265625" style="25" customWidth="1"/>
    <col min="11268" max="11268" width="10.453125" style="25" customWidth="1"/>
    <col min="11269" max="11269" width="12.26953125" style="25" customWidth="1"/>
    <col min="11270" max="11270" width="9" style="25" customWidth="1"/>
    <col min="11271" max="11271" width="18" style="25" customWidth="1"/>
    <col min="11272" max="11273" width="7.453125" style="25" customWidth="1"/>
    <col min="11274" max="11274" width="0" style="25" hidden="1" customWidth="1"/>
    <col min="11275" max="11275" width="18.7265625" style="25" customWidth="1"/>
    <col min="11276" max="11276" width="20.453125" style="25" customWidth="1"/>
    <col min="11277" max="11277" width="0.54296875" style="25" customWidth="1"/>
    <col min="11278" max="11278" width="20.26953125" style="25" customWidth="1"/>
    <col min="11279" max="11287" width="8.81640625" style="25" customWidth="1"/>
    <col min="11288" max="11520" width="8.81640625" style="25"/>
    <col min="11521" max="11521" width="14.7265625" style="25" customWidth="1"/>
    <col min="11522" max="11522" width="33.1796875" style="25" customWidth="1"/>
    <col min="11523" max="11523" width="10.7265625" style="25" customWidth="1"/>
    <col min="11524" max="11524" width="10.453125" style="25" customWidth="1"/>
    <col min="11525" max="11525" width="12.26953125" style="25" customWidth="1"/>
    <col min="11526" max="11526" width="9" style="25" customWidth="1"/>
    <col min="11527" max="11527" width="18" style="25" customWidth="1"/>
    <col min="11528" max="11529" width="7.453125" style="25" customWidth="1"/>
    <col min="11530" max="11530" width="0" style="25" hidden="1" customWidth="1"/>
    <col min="11531" max="11531" width="18.7265625" style="25" customWidth="1"/>
    <col min="11532" max="11532" width="20.453125" style="25" customWidth="1"/>
    <col min="11533" max="11533" width="0.54296875" style="25" customWidth="1"/>
    <col min="11534" max="11534" width="20.26953125" style="25" customWidth="1"/>
    <col min="11535" max="11543" width="8.81640625" style="25" customWidth="1"/>
    <col min="11544" max="11776" width="8.81640625" style="25"/>
    <col min="11777" max="11777" width="14.7265625" style="25" customWidth="1"/>
    <col min="11778" max="11778" width="33.1796875" style="25" customWidth="1"/>
    <col min="11779" max="11779" width="10.7265625" style="25" customWidth="1"/>
    <col min="11780" max="11780" width="10.453125" style="25" customWidth="1"/>
    <col min="11781" max="11781" width="12.26953125" style="25" customWidth="1"/>
    <col min="11782" max="11782" width="9" style="25" customWidth="1"/>
    <col min="11783" max="11783" width="18" style="25" customWidth="1"/>
    <col min="11784" max="11785" width="7.453125" style="25" customWidth="1"/>
    <col min="11786" max="11786" width="0" style="25" hidden="1" customWidth="1"/>
    <col min="11787" max="11787" width="18.7265625" style="25" customWidth="1"/>
    <col min="11788" max="11788" width="20.453125" style="25" customWidth="1"/>
    <col min="11789" max="11789" width="0.54296875" style="25" customWidth="1"/>
    <col min="11790" max="11790" width="20.26953125" style="25" customWidth="1"/>
    <col min="11791" max="11799" width="8.81640625" style="25" customWidth="1"/>
    <col min="11800" max="12032" width="8.81640625" style="25"/>
    <col min="12033" max="12033" width="14.7265625" style="25" customWidth="1"/>
    <col min="12034" max="12034" width="33.1796875" style="25" customWidth="1"/>
    <col min="12035" max="12035" width="10.7265625" style="25" customWidth="1"/>
    <col min="12036" max="12036" width="10.453125" style="25" customWidth="1"/>
    <col min="12037" max="12037" width="12.26953125" style="25" customWidth="1"/>
    <col min="12038" max="12038" width="9" style="25" customWidth="1"/>
    <col min="12039" max="12039" width="18" style="25" customWidth="1"/>
    <col min="12040" max="12041" width="7.453125" style="25" customWidth="1"/>
    <col min="12042" max="12042" width="0" style="25" hidden="1" customWidth="1"/>
    <col min="12043" max="12043" width="18.7265625" style="25" customWidth="1"/>
    <col min="12044" max="12044" width="20.453125" style="25" customWidth="1"/>
    <col min="12045" max="12045" width="0.54296875" style="25" customWidth="1"/>
    <col min="12046" max="12046" width="20.26953125" style="25" customWidth="1"/>
    <col min="12047" max="12055" width="8.81640625" style="25" customWidth="1"/>
    <col min="12056" max="12288" width="8.81640625" style="25"/>
    <col min="12289" max="12289" width="14.7265625" style="25" customWidth="1"/>
    <col min="12290" max="12290" width="33.1796875" style="25" customWidth="1"/>
    <col min="12291" max="12291" width="10.7265625" style="25" customWidth="1"/>
    <col min="12292" max="12292" width="10.453125" style="25" customWidth="1"/>
    <col min="12293" max="12293" width="12.26953125" style="25" customWidth="1"/>
    <col min="12294" max="12294" width="9" style="25" customWidth="1"/>
    <col min="12295" max="12295" width="18" style="25" customWidth="1"/>
    <col min="12296" max="12297" width="7.453125" style="25" customWidth="1"/>
    <col min="12298" max="12298" width="0" style="25" hidden="1" customWidth="1"/>
    <col min="12299" max="12299" width="18.7265625" style="25" customWidth="1"/>
    <col min="12300" max="12300" width="20.453125" style="25" customWidth="1"/>
    <col min="12301" max="12301" width="0.54296875" style="25" customWidth="1"/>
    <col min="12302" max="12302" width="20.26953125" style="25" customWidth="1"/>
    <col min="12303" max="12311" width="8.81640625" style="25" customWidth="1"/>
    <col min="12312" max="12544" width="8.81640625" style="25"/>
    <col min="12545" max="12545" width="14.7265625" style="25" customWidth="1"/>
    <col min="12546" max="12546" width="33.1796875" style="25" customWidth="1"/>
    <col min="12547" max="12547" width="10.7265625" style="25" customWidth="1"/>
    <col min="12548" max="12548" width="10.453125" style="25" customWidth="1"/>
    <col min="12549" max="12549" width="12.26953125" style="25" customWidth="1"/>
    <col min="12550" max="12550" width="9" style="25" customWidth="1"/>
    <col min="12551" max="12551" width="18" style="25" customWidth="1"/>
    <col min="12552" max="12553" width="7.453125" style="25" customWidth="1"/>
    <col min="12554" max="12554" width="0" style="25" hidden="1" customWidth="1"/>
    <col min="12555" max="12555" width="18.7265625" style="25" customWidth="1"/>
    <col min="12556" max="12556" width="20.453125" style="25" customWidth="1"/>
    <col min="12557" max="12557" width="0.54296875" style="25" customWidth="1"/>
    <col min="12558" max="12558" width="20.26953125" style="25" customWidth="1"/>
    <col min="12559" max="12567" width="8.81640625" style="25" customWidth="1"/>
    <col min="12568" max="12800" width="8.81640625" style="25"/>
    <col min="12801" max="12801" width="14.7265625" style="25" customWidth="1"/>
    <col min="12802" max="12802" width="33.1796875" style="25" customWidth="1"/>
    <col min="12803" max="12803" width="10.7265625" style="25" customWidth="1"/>
    <col min="12804" max="12804" width="10.453125" style="25" customWidth="1"/>
    <col min="12805" max="12805" width="12.26953125" style="25" customWidth="1"/>
    <col min="12806" max="12806" width="9" style="25" customWidth="1"/>
    <col min="12807" max="12807" width="18" style="25" customWidth="1"/>
    <col min="12808" max="12809" width="7.453125" style="25" customWidth="1"/>
    <col min="12810" max="12810" width="0" style="25" hidden="1" customWidth="1"/>
    <col min="12811" max="12811" width="18.7265625" style="25" customWidth="1"/>
    <col min="12812" max="12812" width="20.453125" style="25" customWidth="1"/>
    <col min="12813" max="12813" width="0.54296875" style="25" customWidth="1"/>
    <col min="12814" max="12814" width="20.26953125" style="25" customWidth="1"/>
    <col min="12815" max="12823" width="8.81640625" style="25" customWidth="1"/>
    <col min="12824" max="13056" width="8.81640625" style="25"/>
    <col min="13057" max="13057" width="14.7265625" style="25" customWidth="1"/>
    <col min="13058" max="13058" width="33.1796875" style="25" customWidth="1"/>
    <col min="13059" max="13059" width="10.7265625" style="25" customWidth="1"/>
    <col min="13060" max="13060" width="10.453125" style="25" customWidth="1"/>
    <col min="13061" max="13061" width="12.26953125" style="25" customWidth="1"/>
    <col min="13062" max="13062" width="9" style="25" customWidth="1"/>
    <col min="13063" max="13063" width="18" style="25" customWidth="1"/>
    <col min="13064" max="13065" width="7.453125" style="25" customWidth="1"/>
    <col min="13066" max="13066" width="0" style="25" hidden="1" customWidth="1"/>
    <col min="13067" max="13067" width="18.7265625" style="25" customWidth="1"/>
    <col min="13068" max="13068" width="20.453125" style="25" customWidth="1"/>
    <col min="13069" max="13069" width="0.54296875" style="25" customWidth="1"/>
    <col min="13070" max="13070" width="20.26953125" style="25" customWidth="1"/>
    <col min="13071" max="13079" width="8.81640625" style="25" customWidth="1"/>
    <col min="13080" max="13312" width="8.81640625" style="25"/>
    <col min="13313" max="13313" width="14.7265625" style="25" customWidth="1"/>
    <col min="13314" max="13314" width="33.1796875" style="25" customWidth="1"/>
    <col min="13315" max="13315" width="10.7265625" style="25" customWidth="1"/>
    <col min="13316" max="13316" width="10.453125" style="25" customWidth="1"/>
    <col min="13317" max="13317" width="12.26953125" style="25" customWidth="1"/>
    <col min="13318" max="13318" width="9" style="25" customWidth="1"/>
    <col min="13319" max="13319" width="18" style="25" customWidth="1"/>
    <col min="13320" max="13321" width="7.453125" style="25" customWidth="1"/>
    <col min="13322" max="13322" width="0" style="25" hidden="1" customWidth="1"/>
    <col min="13323" max="13323" width="18.7265625" style="25" customWidth="1"/>
    <col min="13324" max="13324" width="20.453125" style="25" customWidth="1"/>
    <col min="13325" max="13325" width="0.54296875" style="25" customWidth="1"/>
    <col min="13326" max="13326" width="20.26953125" style="25" customWidth="1"/>
    <col min="13327" max="13335" width="8.81640625" style="25" customWidth="1"/>
    <col min="13336" max="13568" width="8.81640625" style="25"/>
    <col min="13569" max="13569" width="14.7265625" style="25" customWidth="1"/>
    <col min="13570" max="13570" width="33.1796875" style="25" customWidth="1"/>
    <col min="13571" max="13571" width="10.7265625" style="25" customWidth="1"/>
    <col min="13572" max="13572" width="10.453125" style="25" customWidth="1"/>
    <col min="13573" max="13573" width="12.26953125" style="25" customWidth="1"/>
    <col min="13574" max="13574" width="9" style="25" customWidth="1"/>
    <col min="13575" max="13575" width="18" style="25" customWidth="1"/>
    <col min="13576" max="13577" width="7.453125" style="25" customWidth="1"/>
    <col min="13578" max="13578" width="0" style="25" hidden="1" customWidth="1"/>
    <col min="13579" max="13579" width="18.7265625" style="25" customWidth="1"/>
    <col min="13580" max="13580" width="20.453125" style="25" customWidth="1"/>
    <col min="13581" max="13581" width="0.54296875" style="25" customWidth="1"/>
    <col min="13582" max="13582" width="20.26953125" style="25" customWidth="1"/>
    <col min="13583" max="13591" width="8.81640625" style="25" customWidth="1"/>
    <col min="13592" max="13824" width="8.81640625" style="25"/>
    <col min="13825" max="13825" width="14.7265625" style="25" customWidth="1"/>
    <col min="13826" max="13826" width="33.1796875" style="25" customWidth="1"/>
    <col min="13827" max="13827" width="10.7265625" style="25" customWidth="1"/>
    <col min="13828" max="13828" width="10.453125" style="25" customWidth="1"/>
    <col min="13829" max="13829" width="12.26953125" style="25" customWidth="1"/>
    <col min="13830" max="13830" width="9" style="25" customWidth="1"/>
    <col min="13831" max="13831" width="18" style="25" customWidth="1"/>
    <col min="13832" max="13833" width="7.453125" style="25" customWidth="1"/>
    <col min="13834" max="13834" width="0" style="25" hidden="1" customWidth="1"/>
    <col min="13835" max="13835" width="18.7265625" style="25" customWidth="1"/>
    <col min="13836" max="13836" width="20.453125" style="25" customWidth="1"/>
    <col min="13837" max="13837" width="0.54296875" style="25" customWidth="1"/>
    <col min="13838" max="13838" width="20.26953125" style="25" customWidth="1"/>
    <col min="13839" max="13847" width="8.81640625" style="25" customWidth="1"/>
    <col min="13848" max="14080" width="8.81640625" style="25"/>
    <col min="14081" max="14081" width="14.7265625" style="25" customWidth="1"/>
    <col min="14082" max="14082" width="33.1796875" style="25" customWidth="1"/>
    <col min="14083" max="14083" width="10.7265625" style="25" customWidth="1"/>
    <col min="14084" max="14084" width="10.453125" style="25" customWidth="1"/>
    <col min="14085" max="14085" width="12.26953125" style="25" customWidth="1"/>
    <col min="14086" max="14086" width="9" style="25" customWidth="1"/>
    <col min="14087" max="14087" width="18" style="25" customWidth="1"/>
    <col min="14088" max="14089" width="7.453125" style="25" customWidth="1"/>
    <col min="14090" max="14090" width="0" style="25" hidden="1" customWidth="1"/>
    <col min="14091" max="14091" width="18.7265625" style="25" customWidth="1"/>
    <col min="14092" max="14092" width="20.453125" style="25" customWidth="1"/>
    <col min="14093" max="14093" width="0.54296875" style="25" customWidth="1"/>
    <col min="14094" max="14094" width="20.26953125" style="25" customWidth="1"/>
    <col min="14095" max="14103" width="8.81640625" style="25" customWidth="1"/>
    <col min="14104" max="14336" width="8.81640625" style="25"/>
    <col min="14337" max="14337" width="14.7265625" style="25" customWidth="1"/>
    <col min="14338" max="14338" width="33.1796875" style="25" customWidth="1"/>
    <col min="14339" max="14339" width="10.7265625" style="25" customWidth="1"/>
    <col min="14340" max="14340" width="10.453125" style="25" customWidth="1"/>
    <col min="14341" max="14341" width="12.26953125" style="25" customWidth="1"/>
    <col min="14342" max="14342" width="9" style="25" customWidth="1"/>
    <col min="14343" max="14343" width="18" style="25" customWidth="1"/>
    <col min="14344" max="14345" width="7.453125" style="25" customWidth="1"/>
    <col min="14346" max="14346" width="0" style="25" hidden="1" customWidth="1"/>
    <col min="14347" max="14347" width="18.7265625" style="25" customWidth="1"/>
    <col min="14348" max="14348" width="20.453125" style="25" customWidth="1"/>
    <col min="14349" max="14349" width="0.54296875" style="25" customWidth="1"/>
    <col min="14350" max="14350" width="20.26953125" style="25" customWidth="1"/>
    <col min="14351" max="14359" width="8.81640625" style="25" customWidth="1"/>
    <col min="14360" max="14592" width="8.81640625" style="25"/>
    <col min="14593" max="14593" width="14.7265625" style="25" customWidth="1"/>
    <col min="14594" max="14594" width="33.1796875" style="25" customWidth="1"/>
    <col min="14595" max="14595" width="10.7265625" style="25" customWidth="1"/>
    <col min="14596" max="14596" width="10.453125" style="25" customWidth="1"/>
    <col min="14597" max="14597" width="12.26953125" style="25" customWidth="1"/>
    <col min="14598" max="14598" width="9" style="25" customWidth="1"/>
    <col min="14599" max="14599" width="18" style="25" customWidth="1"/>
    <col min="14600" max="14601" width="7.453125" style="25" customWidth="1"/>
    <col min="14602" max="14602" width="0" style="25" hidden="1" customWidth="1"/>
    <col min="14603" max="14603" width="18.7265625" style="25" customWidth="1"/>
    <col min="14604" max="14604" width="20.453125" style="25" customWidth="1"/>
    <col min="14605" max="14605" width="0.54296875" style="25" customWidth="1"/>
    <col min="14606" max="14606" width="20.26953125" style="25" customWidth="1"/>
    <col min="14607" max="14615" width="8.81640625" style="25" customWidth="1"/>
    <col min="14616" max="14848" width="8.81640625" style="25"/>
    <col min="14849" max="14849" width="14.7265625" style="25" customWidth="1"/>
    <col min="14850" max="14850" width="33.1796875" style="25" customWidth="1"/>
    <col min="14851" max="14851" width="10.7265625" style="25" customWidth="1"/>
    <col min="14852" max="14852" width="10.453125" style="25" customWidth="1"/>
    <col min="14853" max="14853" width="12.26953125" style="25" customWidth="1"/>
    <col min="14854" max="14854" width="9" style="25" customWidth="1"/>
    <col min="14855" max="14855" width="18" style="25" customWidth="1"/>
    <col min="14856" max="14857" width="7.453125" style="25" customWidth="1"/>
    <col min="14858" max="14858" width="0" style="25" hidden="1" customWidth="1"/>
    <col min="14859" max="14859" width="18.7265625" style="25" customWidth="1"/>
    <col min="14860" max="14860" width="20.453125" style="25" customWidth="1"/>
    <col min="14861" max="14861" width="0.54296875" style="25" customWidth="1"/>
    <col min="14862" max="14862" width="20.26953125" style="25" customWidth="1"/>
    <col min="14863" max="14871" width="8.81640625" style="25" customWidth="1"/>
    <col min="14872" max="15104" width="8.81640625" style="25"/>
    <col min="15105" max="15105" width="14.7265625" style="25" customWidth="1"/>
    <col min="15106" max="15106" width="33.1796875" style="25" customWidth="1"/>
    <col min="15107" max="15107" width="10.7265625" style="25" customWidth="1"/>
    <col min="15108" max="15108" width="10.453125" style="25" customWidth="1"/>
    <col min="15109" max="15109" width="12.26953125" style="25" customWidth="1"/>
    <col min="15110" max="15110" width="9" style="25" customWidth="1"/>
    <col min="15111" max="15111" width="18" style="25" customWidth="1"/>
    <col min="15112" max="15113" width="7.453125" style="25" customWidth="1"/>
    <col min="15114" max="15114" width="0" style="25" hidden="1" customWidth="1"/>
    <col min="15115" max="15115" width="18.7265625" style="25" customWidth="1"/>
    <col min="15116" max="15116" width="20.453125" style="25" customWidth="1"/>
    <col min="15117" max="15117" width="0.54296875" style="25" customWidth="1"/>
    <col min="15118" max="15118" width="20.26953125" style="25" customWidth="1"/>
    <col min="15119" max="15127" width="8.81640625" style="25" customWidth="1"/>
    <col min="15128" max="15360" width="8.81640625" style="25"/>
    <col min="15361" max="15361" width="14.7265625" style="25" customWidth="1"/>
    <col min="15362" max="15362" width="33.1796875" style="25" customWidth="1"/>
    <col min="15363" max="15363" width="10.7265625" style="25" customWidth="1"/>
    <col min="15364" max="15364" width="10.453125" style="25" customWidth="1"/>
    <col min="15365" max="15365" width="12.26953125" style="25" customWidth="1"/>
    <col min="15366" max="15366" width="9" style="25" customWidth="1"/>
    <col min="15367" max="15367" width="18" style="25" customWidth="1"/>
    <col min="15368" max="15369" width="7.453125" style="25" customWidth="1"/>
    <col min="15370" max="15370" width="0" style="25" hidden="1" customWidth="1"/>
    <col min="15371" max="15371" width="18.7265625" style="25" customWidth="1"/>
    <col min="15372" max="15372" width="20.453125" style="25" customWidth="1"/>
    <col min="15373" max="15373" width="0.54296875" style="25" customWidth="1"/>
    <col min="15374" max="15374" width="20.26953125" style="25" customWidth="1"/>
    <col min="15375" max="15383" width="8.81640625" style="25" customWidth="1"/>
    <col min="15384" max="15616" width="8.81640625" style="25"/>
    <col min="15617" max="15617" width="14.7265625" style="25" customWidth="1"/>
    <col min="15618" max="15618" width="33.1796875" style="25" customWidth="1"/>
    <col min="15619" max="15619" width="10.7265625" style="25" customWidth="1"/>
    <col min="15620" max="15620" width="10.453125" style="25" customWidth="1"/>
    <col min="15621" max="15621" width="12.26953125" style="25" customWidth="1"/>
    <col min="15622" max="15622" width="9" style="25" customWidth="1"/>
    <col min="15623" max="15623" width="18" style="25" customWidth="1"/>
    <col min="15624" max="15625" width="7.453125" style="25" customWidth="1"/>
    <col min="15626" max="15626" width="0" style="25" hidden="1" customWidth="1"/>
    <col min="15627" max="15627" width="18.7265625" style="25" customWidth="1"/>
    <col min="15628" max="15628" width="20.453125" style="25" customWidth="1"/>
    <col min="15629" max="15629" width="0.54296875" style="25" customWidth="1"/>
    <col min="15630" max="15630" width="20.26953125" style="25" customWidth="1"/>
    <col min="15631" max="15639" width="8.81640625" style="25" customWidth="1"/>
    <col min="15640" max="15872" width="8.81640625" style="25"/>
    <col min="15873" max="15873" width="14.7265625" style="25" customWidth="1"/>
    <col min="15874" max="15874" width="33.1796875" style="25" customWidth="1"/>
    <col min="15875" max="15875" width="10.7265625" style="25" customWidth="1"/>
    <col min="15876" max="15876" width="10.453125" style="25" customWidth="1"/>
    <col min="15877" max="15877" width="12.26953125" style="25" customWidth="1"/>
    <col min="15878" max="15878" width="9" style="25" customWidth="1"/>
    <col min="15879" max="15879" width="18" style="25" customWidth="1"/>
    <col min="15880" max="15881" width="7.453125" style="25" customWidth="1"/>
    <col min="15882" max="15882" width="0" style="25" hidden="1" customWidth="1"/>
    <col min="15883" max="15883" width="18.7265625" style="25" customWidth="1"/>
    <col min="15884" max="15884" width="20.453125" style="25" customWidth="1"/>
    <col min="15885" max="15885" width="0.54296875" style="25" customWidth="1"/>
    <col min="15886" max="15886" width="20.26953125" style="25" customWidth="1"/>
    <col min="15887" max="15895" width="8.81640625" style="25" customWidth="1"/>
    <col min="15896" max="16128" width="8.81640625" style="25"/>
    <col min="16129" max="16129" width="14.7265625" style="25" customWidth="1"/>
    <col min="16130" max="16130" width="33.1796875" style="25" customWidth="1"/>
    <col min="16131" max="16131" width="10.7265625" style="25" customWidth="1"/>
    <col min="16132" max="16132" width="10.453125" style="25" customWidth="1"/>
    <col min="16133" max="16133" width="12.26953125" style="25" customWidth="1"/>
    <col min="16134" max="16134" width="9" style="25" customWidth="1"/>
    <col min="16135" max="16135" width="18" style="25" customWidth="1"/>
    <col min="16136" max="16137" width="7.453125" style="25" customWidth="1"/>
    <col min="16138" max="16138" width="0" style="25" hidden="1" customWidth="1"/>
    <col min="16139" max="16139" width="18.7265625" style="25" customWidth="1"/>
    <col min="16140" max="16140" width="20.453125" style="25" customWidth="1"/>
    <col min="16141" max="16141" width="0.54296875" style="25" customWidth="1"/>
    <col min="16142" max="16142" width="20.26953125" style="25" customWidth="1"/>
    <col min="16143" max="16151" width="8.81640625" style="25" customWidth="1"/>
    <col min="16152" max="16384" width="8.81640625" style="25"/>
  </cols>
  <sheetData>
    <row r="1" spans="1:24" ht="12.75" customHeight="1" x14ac:dyDescent="0.3">
      <c r="A1" s="24" t="s">
        <v>19</v>
      </c>
      <c r="G1" s="26" t="s">
        <v>38</v>
      </c>
      <c r="H1" s="218" t="s">
        <v>54</v>
      </c>
      <c r="I1" s="219"/>
      <c r="J1" s="219"/>
      <c r="K1" s="219"/>
      <c r="L1" s="220"/>
      <c r="M1" s="27"/>
    </row>
    <row r="2" spans="1:24" ht="13" x14ac:dyDescent="0.3">
      <c r="A2" s="24" t="s">
        <v>44</v>
      </c>
      <c r="G2" s="31" t="s">
        <v>39</v>
      </c>
      <c r="H2" s="221" t="s">
        <v>361</v>
      </c>
      <c r="I2" s="222"/>
      <c r="J2" s="222"/>
      <c r="K2" s="222"/>
      <c r="L2" s="223"/>
      <c r="M2" s="32"/>
      <c r="N2" s="33"/>
      <c r="O2" s="34"/>
      <c r="P2" s="34"/>
      <c r="X2" s="29"/>
    </row>
    <row r="3" spans="1:24" ht="13" x14ac:dyDescent="0.3">
      <c r="A3" s="24" t="s">
        <v>45</v>
      </c>
      <c r="G3" s="26" t="s">
        <v>40</v>
      </c>
      <c r="H3" s="224" t="s">
        <v>52</v>
      </c>
      <c r="I3" s="225"/>
      <c r="J3" s="225"/>
      <c r="K3" s="225"/>
      <c r="L3" s="226"/>
      <c r="M3" s="27"/>
      <c r="P3" s="29"/>
      <c r="X3" s="29"/>
    </row>
    <row r="4" spans="1:24" ht="13" x14ac:dyDescent="0.3">
      <c r="A4" s="24"/>
      <c r="G4" s="26" t="s">
        <v>41</v>
      </c>
      <c r="H4" s="227" t="s">
        <v>365</v>
      </c>
      <c r="I4" s="228"/>
      <c r="J4" s="228"/>
      <c r="K4" s="228"/>
      <c r="L4" s="228"/>
      <c r="M4" s="27"/>
      <c r="P4" s="29"/>
      <c r="X4" s="29"/>
    </row>
    <row r="5" spans="1:24" x14ac:dyDescent="0.25">
      <c r="G5" s="26" t="s">
        <v>43</v>
      </c>
      <c r="H5" s="229" t="s">
        <v>149</v>
      </c>
      <c r="I5" s="228"/>
      <c r="J5" s="228"/>
      <c r="K5" s="228"/>
      <c r="L5" s="228"/>
      <c r="M5" s="27"/>
      <c r="P5" s="29"/>
      <c r="X5" s="29"/>
    </row>
    <row r="6" spans="1:24" x14ac:dyDescent="0.25">
      <c r="A6" s="23" t="s">
        <v>31</v>
      </c>
      <c r="G6" s="26" t="s">
        <v>42</v>
      </c>
      <c r="H6" s="230">
        <v>42825</v>
      </c>
      <c r="I6" s="231"/>
      <c r="J6" s="231"/>
      <c r="K6" s="231"/>
      <c r="L6" s="232"/>
      <c r="M6" s="27"/>
      <c r="P6" s="29"/>
      <c r="X6" s="29"/>
    </row>
    <row r="7" spans="1:24" x14ac:dyDescent="0.25">
      <c r="A7" s="23" t="s">
        <v>32</v>
      </c>
      <c r="P7" s="29"/>
      <c r="X7" s="29"/>
    </row>
    <row r="8" spans="1:24" x14ac:dyDescent="0.25">
      <c r="A8" s="23" t="s">
        <v>33</v>
      </c>
      <c r="L8" s="233" t="s">
        <v>175</v>
      </c>
      <c r="P8" s="29"/>
      <c r="X8" s="29"/>
    </row>
    <row r="9" spans="1:24" ht="13.5" customHeight="1" x14ac:dyDescent="0.25">
      <c r="A9" s="23" t="s">
        <v>34</v>
      </c>
      <c r="L9" s="234"/>
      <c r="P9" s="29"/>
      <c r="X9" s="29"/>
    </row>
    <row r="10" spans="1:24" ht="42.75" customHeight="1" x14ac:dyDescent="0.25">
      <c r="K10" s="35" t="s">
        <v>176</v>
      </c>
      <c r="L10" s="36" t="s">
        <v>177</v>
      </c>
      <c r="M10" s="37" t="s">
        <v>57</v>
      </c>
      <c r="N10" s="38" t="s">
        <v>61</v>
      </c>
      <c r="O10" s="30"/>
      <c r="Q10" s="30"/>
      <c r="R10" s="30"/>
      <c r="S10" s="30"/>
      <c r="T10" s="30"/>
      <c r="X10" s="29"/>
    </row>
    <row r="11" spans="1:24" ht="15.5" x14ac:dyDescent="0.35">
      <c r="A11" s="39" t="s">
        <v>20</v>
      </c>
      <c r="B11" s="39"/>
      <c r="C11" s="40"/>
      <c r="D11" s="40"/>
      <c r="E11" s="40"/>
      <c r="F11" s="40"/>
      <c r="G11" s="40"/>
      <c r="H11" s="40"/>
      <c r="I11" s="40"/>
      <c r="J11" s="40"/>
      <c r="K11" s="41">
        <f>SUM(K15:K39)</f>
        <v>7.4833333333333335E-2</v>
      </c>
      <c r="L11" s="42">
        <f>P13/(K11+1E-50)</f>
        <v>0.67015590200445418</v>
      </c>
      <c r="M11" s="43">
        <f>N11/8760/(K11+1E-50)</f>
        <v>1.7884187082405345</v>
      </c>
      <c r="N11" s="44">
        <f>SUM(N15:N39)</f>
        <v>1172.3799999999999</v>
      </c>
      <c r="O11" s="30"/>
      <c r="Q11" s="30"/>
      <c r="R11" s="30"/>
      <c r="S11" s="30"/>
      <c r="T11" s="30"/>
      <c r="X11" s="29"/>
    </row>
    <row r="12" spans="1:24" ht="13" x14ac:dyDescent="0.3">
      <c r="A12" s="214" t="s">
        <v>16</v>
      </c>
      <c r="B12" s="215"/>
      <c r="C12" s="45" t="s">
        <v>0</v>
      </c>
      <c r="D12" s="46" t="s">
        <v>1</v>
      </c>
      <c r="E12" s="46" t="s">
        <v>1</v>
      </c>
      <c r="F12" s="46" t="s">
        <v>2</v>
      </c>
      <c r="G12" s="46" t="s">
        <v>3</v>
      </c>
      <c r="H12" s="216" t="s">
        <v>4</v>
      </c>
      <c r="I12" s="217"/>
      <c r="J12" s="47"/>
      <c r="K12" s="46" t="s">
        <v>56</v>
      </c>
      <c r="L12" s="48" t="s">
        <v>55</v>
      </c>
      <c r="M12" s="49" t="s">
        <v>55</v>
      </c>
      <c r="N12" s="50" t="s">
        <v>55</v>
      </c>
      <c r="O12" s="30"/>
      <c r="P12" s="30" t="s">
        <v>5</v>
      </c>
      <c r="Q12" s="30"/>
      <c r="R12" s="30"/>
      <c r="S12" s="30"/>
      <c r="T12" s="30"/>
      <c r="X12" s="29"/>
    </row>
    <row r="13" spans="1:24" ht="15.5" x14ac:dyDescent="0.4">
      <c r="A13" s="235" t="s">
        <v>35</v>
      </c>
      <c r="B13" s="236"/>
      <c r="C13" s="51"/>
      <c r="D13" s="52" t="s">
        <v>358</v>
      </c>
      <c r="E13" s="52" t="s">
        <v>6</v>
      </c>
      <c r="F13" s="52" t="s">
        <v>7</v>
      </c>
      <c r="G13" s="52" t="s">
        <v>8</v>
      </c>
      <c r="H13" s="53" t="s">
        <v>63</v>
      </c>
      <c r="I13" s="54" t="s">
        <v>64</v>
      </c>
      <c r="J13" s="47"/>
      <c r="K13" s="52" t="s">
        <v>9</v>
      </c>
      <c r="L13" s="55" t="s">
        <v>62</v>
      </c>
      <c r="M13" s="49" t="s">
        <v>58</v>
      </c>
      <c r="N13" s="50" t="s">
        <v>60</v>
      </c>
      <c r="P13" s="56">
        <f>SUM(P15:P39)</f>
        <v>5.0149999999999993E-2</v>
      </c>
      <c r="Q13" s="30"/>
      <c r="R13" s="30"/>
      <c r="S13" s="30"/>
      <c r="T13" s="30"/>
      <c r="X13" s="29"/>
    </row>
    <row r="14" spans="1:24" ht="15.5" x14ac:dyDescent="0.4">
      <c r="A14" s="57" t="s">
        <v>17</v>
      </c>
      <c r="B14" s="57" t="s">
        <v>18</v>
      </c>
      <c r="C14" s="51"/>
      <c r="D14" s="58" t="s">
        <v>10</v>
      </c>
      <c r="E14" s="52" t="s">
        <v>10</v>
      </c>
      <c r="F14" s="52" t="s">
        <v>11</v>
      </c>
      <c r="G14" s="52" t="s">
        <v>12</v>
      </c>
      <c r="H14" s="59" t="s">
        <v>13</v>
      </c>
      <c r="I14" s="48" t="s">
        <v>14</v>
      </c>
      <c r="J14" s="60"/>
      <c r="K14" s="52" t="s">
        <v>12</v>
      </c>
      <c r="L14" s="55" t="s">
        <v>178</v>
      </c>
      <c r="M14" s="49" t="s">
        <v>59</v>
      </c>
      <c r="N14" s="50" t="s">
        <v>25</v>
      </c>
      <c r="Q14" s="30"/>
      <c r="R14" s="30"/>
      <c r="S14" s="30"/>
      <c r="T14" s="30"/>
      <c r="X14" s="29"/>
    </row>
    <row r="15" spans="1:24" ht="13.15" customHeight="1" x14ac:dyDescent="0.25">
      <c r="A15" s="2" t="s">
        <v>65</v>
      </c>
      <c r="B15" s="2" t="s">
        <v>46</v>
      </c>
      <c r="C15" s="2" t="s">
        <v>174</v>
      </c>
      <c r="D15" s="3">
        <v>5.2999999999999999E-2</v>
      </c>
      <c r="E15" s="3">
        <v>5.8999999999999997E-2</v>
      </c>
      <c r="F15" s="3">
        <v>1</v>
      </c>
      <c r="G15" s="63">
        <f>F15*E15</f>
        <v>5.8999999999999997E-2</v>
      </c>
      <c r="H15" s="64">
        <v>24</v>
      </c>
      <c r="I15" s="65">
        <v>7</v>
      </c>
      <c r="J15" s="66">
        <v>1</v>
      </c>
      <c r="K15" s="63">
        <f>G15*H15/24*I15/7*J15</f>
        <v>5.8999999999999997E-2</v>
      </c>
      <c r="L15" s="67">
        <v>0.85</v>
      </c>
      <c r="M15" s="68">
        <v>2</v>
      </c>
      <c r="N15" s="69">
        <f>(D15&gt;E15)*(D15/(E15+1E-50)*M15*K15*8760)+(D15&lt;=E15)*(M15*K15*8760)</f>
        <v>1033.6799999999998</v>
      </c>
      <c r="O15" s="70"/>
      <c r="P15" s="71">
        <f>K15*L15</f>
        <v>5.0149999999999993E-2</v>
      </c>
      <c r="Q15" s="30"/>
      <c r="R15" s="30"/>
      <c r="S15" s="30"/>
      <c r="T15" s="30"/>
      <c r="X15" s="29"/>
    </row>
    <row r="16" spans="1:24" x14ac:dyDescent="0.25">
      <c r="A16" s="61" t="s">
        <v>48</v>
      </c>
      <c r="B16" s="61" t="s">
        <v>49</v>
      </c>
      <c r="C16" s="61" t="s">
        <v>50</v>
      </c>
      <c r="D16" s="62"/>
      <c r="E16" s="62">
        <v>0.08</v>
      </c>
      <c r="F16" s="62">
        <v>1</v>
      </c>
      <c r="G16" s="63">
        <f t="shared" ref="G16:G39" si="0">F16*E16</f>
        <v>0.08</v>
      </c>
      <c r="H16" s="64">
        <v>2</v>
      </c>
      <c r="I16" s="65">
        <v>7</v>
      </c>
      <c r="J16" s="66">
        <v>1</v>
      </c>
      <c r="K16" s="63">
        <f t="shared" ref="K16:K39" si="1">G16*H16/24*I16/7*J16</f>
        <v>6.6666666666666671E-3</v>
      </c>
      <c r="L16" s="67">
        <v>0</v>
      </c>
      <c r="M16" s="68">
        <v>1</v>
      </c>
      <c r="N16" s="69">
        <f t="shared" ref="N16:N39" si="2">(D16&gt;E16)*(D16/(E16+1E-50)*M16*K16*8760)+(D16&lt;=E16)*(M16*K16*8760)</f>
        <v>58.400000000000006</v>
      </c>
      <c r="O16" s="70"/>
      <c r="P16" s="71">
        <f t="shared" ref="P16:P39" si="3">K16*L16</f>
        <v>0</v>
      </c>
      <c r="Q16" s="30"/>
      <c r="R16" s="30"/>
      <c r="S16" s="30"/>
      <c r="T16" s="30"/>
      <c r="X16" s="29"/>
    </row>
    <row r="17" spans="1:24" x14ac:dyDescent="0.25">
      <c r="A17" s="72" t="s">
        <v>53</v>
      </c>
      <c r="B17" s="72" t="s">
        <v>53</v>
      </c>
      <c r="C17" s="61" t="s">
        <v>51</v>
      </c>
      <c r="D17" s="62"/>
      <c r="E17" s="62">
        <v>0.01</v>
      </c>
      <c r="F17" s="62">
        <v>1</v>
      </c>
      <c r="G17" s="63">
        <f>F17*E17</f>
        <v>0.01</v>
      </c>
      <c r="H17" s="64">
        <v>22</v>
      </c>
      <c r="I17" s="65">
        <v>7</v>
      </c>
      <c r="J17" s="66">
        <v>1</v>
      </c>
      <c r="K17" s="63">
        <f t="shared" si="1"/>
        <v>9.1666666666666667E-3</v>
      </c>
      <c r="L17" s="67">
        <v>0</v>
      </c>
      <c r="M17" s="68">
        <v>1</v>
      </c>
      <c r="N17" s="69">
        <f t="shared" si="2"/>
        <v>80.3</v>
      </c>
      <c r="O17" s="70"/>
      <c r="P17" s="71">
        <f t="shared" si="3"/>
        <v>0</v>
      </c>
      <c r="Q17" s="30"/>
      <c r="R17" s="30"/>
      <c r="S17" s="30"/>
      <c r="T17" s="30"/>
      <c r="X17" s="29"/>
    </row>
    <row r="18" spans="1:24" x14ac:dyDescent="0.25">
      <c r="A18" s="61"/>
      <c r="B18" s="61"/>
      <c r="C18" s="61"/>
      <c r="D18" s="62"/>
      <c r="E18" s="62"/>
      <c r="F18" s="62"/>
      <c r="G18" s="63">
        <f t="shared" si="0"/>
        <v>0</v>
      </c>
      <c r="H18" s="64"/>
      <c r="I18" s="65"/>
      <c r="J18" s="66">
        <v>1</v>
      </c>
      <c r="K18" s="63">
        <f t="shared" si="1"/>
        <v>0</v>
      </c>
      <c r="L18" s="67"/>
      <c r="M18" s="68"/>
      <c r="N18" s="69">
        <f t="shared" si="2"/>
        <v>0</v>
      </c>
      <c r="O18" s="70"/>
      <c r="P18" s="71">
        <f t="shared" si="3"/>
        <v>0</v>
      </c>
      <c r="Q18" s="30"/>
      <c r="R18" s="30"/>
      <c r="S18" s="30"/>
      <c r="T18" s="30"/>
      <c r="X18" s="29"/>
    </row>
    <row r="19" spans="1:24" x14ac:dyDescent="0.25">
      <c r="A19" s="61"/>
      <c r="B19" s="61"/>
      <c r="C19" s="61"/>
      <c r="D19" s="62"/>
      <c r="E19" s="62"/>
      <c r="F19" s="62"/>
      <c r="G19" s="63">
        <f t="shared" si="0"/>
        <v>0</v>
      </c>
      <c r="H19" s="64"/>
      <c r="I19" s="65"/>
      <c r="J19" s="66">
        <v>1</v>
      </c>
      <c r="K19" s="63">
        <f t="shared" si="1"/>
        <v>0</v>
      </c>
      <c r="L19" s="67"/>
      <c r="M19" s="68"/>
      <c r="N19" s="69">
        <f t="shared" si="2"/>
        <v>0</v>
      </c>
      <c r="O19" s="70"/>
      <c r="P19" s="71">
        <f t="shared" si="3"/>
        <v>0</v>
      </c>
      <c r="Q19" s="30"/>
      <c r="R19" s="30"/>
      <c r="S19" s="30"/>
      <c r="T19" s="30"/>
      <c r="X19" s="29"/>
    </row>
    <row r="20" spans="1:24" x14ac:dyDescent="0.25">
      <c r="A20" s="61"/>
      <c r="B20" s="61"/>
      <c r="C20" s="61"/>
      <c r="D20" s="62"/>
      <c r="E20" s="62"/>
      <c r="F20" s="62"/>
      <c r="G20" s="63">
        <f t="shared" si="0"/>
        <v>0</v>
      </c>
      <c r="H20" s="64"/>
      <c r="I20" s="65"/>
      <c r="J20" s="66">
        <v>1</v>
      </c>
      <c r="K20" s="63">
        <f t="shared" si="1"/>
        <v>0</v>
      </c>
      <c r="L20" s="67"/>
      <c r="M20" s="68"/>
      <c r="N20" s="69">
        <f t="shared" si="2"/>
        <v>0</v>
      </c>
      <c r="O20" s="73"/>
      <c r="P20" s="71">
        <f t="shared" si="3"/>
        <v>0</v>
      </c>
      <c r="Q20" s="30"/>
      <c r="R20" s="30"/>
      <c r="S20" s="30"/>
      <c r="T20" s="30"/>
      <c r="X20" s="29"/>
    </row>
    <row r="21" spans="1:24" x14ac:dyDescent="0.25">
      <c r="A21" s="61"/>
      <c r="B21" s="61"/>
      <c r="C21" s="61"/>
      <c r="D21" s="62"/>
      <c r="E21" s="62"/>
      <c r="F21" s="62"/>
      <c r="G21" s="63">
        <f t="shared" si="0"/>
        <v>0</v>
      </c>
      <c r="H21" s="64"/>
      <c r="I21" s="65"/>
      <c r="J21" s="66">
        <v>1</v>
      </c>
      <c r="K21" s="63">
        <f t="shared" si="1"/>
        <v>0</v>
      </c>
      <c r="L21" s="67"/>
      <c r="M21" s="68"/>
      <c r="N21" s="69">
        <f t="shared" si="2"/>
        <v>0</v>
      </c>
      <c r="O21" s="73"/>
      <c r="P21" s="71">
        <f t="shared" si="3"/>
        <v>0</v>
      </c>
      <c r="Q21" s="30"/>
      <c r="R21" s="30"/>
      <c r="S21" s="30"/>
      <c r="T21" s="30"/>
      <c r="X21" s="29"/>
    </row>
    <row r="22" spans="1:24" x14ac:dyDescent="0.25">
      <c r="A22" s="61"/>
      <c r="B22" s="61"/>
      <c r="C22" s="61"/>
      <c r="D22" s="62"/>
      <c r="E22" s="62"/>
      <c r="F22" s="62"/>
      <c r="G22" s="63">
        <f t="shared" si="0"/>
        <v>0</v>
      </c>
      <c r="H22" s="64"/>
      <c r="I22" s="65"/>
      <c r="J22" s="66">
        <v>1</v>
      </c>
      <c r="K22" s="63">
        <f t="shared" si="1"/>
        <v>0</v>
      </c>
      <c r="L22" s="67"/>
      <c r="M22" s="68"/>
      <c r="N22" s="69">
        <f t="shared" si="2"/>
        <v>0</v>
      </c>
      <c r="O22" s="73"/>
      <c r="P22" s="71">
        <f t="shared" si="3"/>
        <v>0</v>
      </c>
      <c r="Q22" s="30"/>
      <c r="R22" s="30"/>
      <c r="S22" s="30"/>
      <c r="T22" s="30"/>
      <c r="X22" s="29"/>
    </row>
    <row r="23" spans="1:24" x14ac:dyDescent="0.25">
      <c r="A23" s="61"/>
      <c r="B23" s="61"/>
      <c r="C23" s="61"/>
      <c r="D23" s="62"/>
      <c r="E23" s="62"/>
      <c r="F23" s="62"/>
      <c r="G23" s="63">
        <f t="shared" si="0"/>
        <v>0</v>
      </c>
      <c r="H23" s="64"/>
      <c r="I23" s="65"/>
      <c r="J23" s="66">
        <v>1</v>
      </c>
      <c r="K23" s="63">
        <f t="shared" si="1"/>
        <v>0</v>
      </c>
      <c r="L23" s="67"/>
      <c r="M23" s="68"/>
      <c r="N23" s="69">
        <f t="shared" si="2"/>
        <v>0</v>
      </c>
      <c r="O23" s="73"/>
      <c r="P23" s="71">
        <f t="shared" si="3"/>
        <v>0</v>
      </c>
      <c r="Q23" s="30"/>
      <c r="R23" s="30"/>
      <c r="S23" s="30"/>
      <c r="T23" s="30"/>
      <c r="X23" s="29"/>
    </row>
    <row r="24" spans="1:24" x14ac:dyDescent="0.25">
      <c r="A24" s="61"/>
      <c r="B24" s="61"/>
      <c r="C24" s="61"/>
      <c r="D24" s="62"/>
      <c r="E24" s="62"/>
      <c r="F24" s="62"/>
      <c r="G24" s="63">
        <f t="shared" si="0"/>
        <v>0</v>
      </c>
      <c r="H24" s="64"/>
      <c r="I24" s="65"/>
      <c r="J24" s="66">
        <v>1</v>
      </c>
      <c r="K24" s="63">
        <f t="shared" si="1"/>
        <v>0</v>
      </c>
      <c r="L24" s="67"/>
      <c r="M24" s="68"/>
      <c r="N24" s="69">
        <f t="shared" si="2"/>
        <v>0</v>
      </c>
      <c r="O24" s="73"/>
      <c r="P24" s="71">
        <f t="shared" si="3"/>
        <v>0</v>
      </c>
      <c r="Q24" s="30"/>
      <c r="R24" s="30"/>
      <c r="S24" s="30"/>
      <c r="T24" s="30"/>
      <c r="X24" s="29"/>
    </row>
    <row r="25" spans="1:24" x14ac:dyDescent="0.25">
      <c r="A25" s="61"/>
      <c r="B25" s="61"/>
      <c r="C25" s="61"/>
      <c r="D25" s="62"/>
      <c r="E25" s="62"/>
      <c r="F25" s="62"/>
      <c r="G25" s="63">
        <f t="shared" si="0"/>
        <v>0</v>
      </c>
      <c r="H25" s="64"/>
      <c r="I25" s="65"/>
      <c r="J25" s="66">
        <v>1</v>
      </c>
      <c r="K25" s="63">
        <f t="shared" si="1"/>
        <v>0</v>
      </c>
      <c r="L25" s="67"/>
      <c r="M25" s="68"/>
      <c r="N25" s="69">
        <f t="shared" si="2"/>
        <v>0</v>
      </c>
      <c r="O25" s="73"/>
      <c r="P25" s="71">
        <f t="shared" si="3"/>
        <v>0</v>
      </c>
      <c r="Q25" s="30"/>
      <c r="R25" s="30"/>
      <c r="S25" s="30"/>
      <c r="T25" s="30"/>
      <c r="X25" s="29"/>
    </row>
    <row r="26" spans="1:24" x14ac:dyDescent="0.25">
      <c r="A26" s="61"/>
      <c r="B26" s="61"/>
      <c r="C26" s="61"/>
      <c r="D26" s="62"/>
      <c r="E26" s="62"/>
      <c r="F26" s="62"/>
      <c r="G26" s="63">
        <f t="shared" si="0"/>
        <v>0</v>
      </c>
      <c r="H26" s="64"/>
      <c r="I26" s="65"/>
      <c r="J26" s="66">
        <v>1</v>
      </c>
      <c r="K26" s="63">
        <f t="shared" si="1"/>
        <v>0</v>
      </c>
      <c r="L26" s="67"/>
      <c r="M26" s="68"/>
      <c r="N26" s="69">
        <f t="shared" si="2"/>
        <v>0</v>
      </c>
      <c r="O26" s="73"/>
      <c r="P26" s="71">
        <f t="shared" si="3"/>
        <v>0</v>
      </c>
      <c r="Q26" s="30"/>
      <c r="R26" s="30"/>
      <c r="S26" s="30"/>
      <c r="T26" s="30"/>
      <c r="X26" s="29"/>
    </row>
    <row r="27" spans="1:24" x14ac:dyDescent="0.25">
      <c r="A27" s="61"/>
      <c r="B27" s="61"/>
      <c r="C27" s="61"/>
      <c r="D27" s="61"/>
      <c r="E27" s="62"/>
      <c r="F27" s="62"/>
      <c r="G27" s="63">
        <f t="shared" si="0"/>
        <v>0</v>
      </c>
      <c r="H27" s="64"/>
      <c r="I27" s="65"/>
      <c r="J27" s="66">
        <v>1</v>
      </c>
      <c r="K27" s="63">
        <f t="shared" si="1"/>
        <v>0</v>
      </c>
      <c r="L27" s="67"/>
      <c r="M27" s="68"/>
      <c r="N27" s="69">
        <f t="shared" si="2"/>
        <v>0</v>
      </c>
      <c r="O27" s="73"/>
      <c r="P27" s="71">
        <f t="shared" si="3"/>
        <v>0</v>
      </c>
      <c r="Q27" s="30"/>
      <c r="R27" s="30"/>
      <c r="S27" s="30"/>
      <c r="T27" s="30"/>
      <c r="X27" s="29"/>
    </row>
    <row r="28" spans="1:24" x14ac:dyDescent="0.25">
      <c r="A28" s="61"/>
      <c r="B28" s="61"/>
      <c r="C28" s="61"/>
      <c r="D28" s="61"/>
      <c r="E28" s="62"/>
      <c r="F28" s="62"/>
      <c r="G28" s="63">
        <f t="shared" si="0"/>
        <v>0</v>
      </c>
      <c r="H28" s="64"/>
      <c r="I28" s="65"/>
      <c r="J28" s="66">
        <v>1</v>
      </c>
      <c r="K28" s="63">
        <f t="shared" si="1"/>
        <v>0</v>
      </c>
      <c r="L28" s="67"/>
      <c r="M28" s="68"/>
      <c r="N28" s="69">
        <f t="shared" si="2"/>
        <v>0</v>
      </c>
      <c r="O28" s="73"/>
      <c r="P28" s="71">
        <f t="shared" si="3"/>
        <v>0</v>
      </c>
      <c r="Q28" s="30"/>
      <c r="R28" s="30"/>
      <c r="S28" s="30"/>
      <c r="T28" s="30"/>
      <c r="X28" s="29"/>
    </row>
    <row r="29" spans="1:24" x14ac:dyDescent="0.25">
      <c r="A29" s="61"/>
      <c r="B29" s="61"/>
      <c r="C29" s="61"/>
      <c r="D29" s="61"/>
      <c r="E29" s="62"/>
      <c r="F29" s="62"/>
      <c r="G29" s="63">
        <f t="shared" si="0"/>
        <v>0</v>
      </c>
      <c r="H29" s="64"/>
      <c r="I29" s="65"/>
      <c r="J29" s="66">
        <v>1</v>
      </c>
      <c r="K29" s="63">
        <f t="shared" si="1"/>
        <v>0</v>
      </c>
      <c r="L29" s="67"/>
      <c r="M29" s="68"/>
      <c r="N29" s="69">
        <f t="shared" si="2"/>
        <v>0</v>
      </c>
      <c r="O29" s="73"/>
      <c r="P29" s="71">
        <f t="shared" si="3"/>
        <v>0</v>
      </c>
      <c r="Q29" s="30"/>
      <c r="R29" s="30"/>
      <c r="S29" s="30"/>
      <c r="T29" s="30"/>
      <c r="X29" s="29"/>
    </row>
    <row r="30" spans="1:24" x14ac:dyDescent="0.25">
      <c r="A30" s="61"/>
      <c r="B30" s="61"/>
      <c r="C30" s="61"/>
      <c r="D30" s="61"/>
      <c r="E30" s="62"/>
      <c r="F30" s="62"/>
      <c r="G30" s="63">
        <f t="shared" si="0"/>
        <v>0</v>
      </c>
      <c r="H30" s="64"/>
      <c r="I30" s="65"/>
      <c r="J30" s="66">
        <v>1</v>
      </c>
      <c r="K30" s="63">
        <f t="shared" si="1"/>
        <v>0</v>
      </c>
      <c r="L30" s="67"/>
      <c r="M30" s="68"/>
      <c r="N30" s="69">
        <f t="shared" si="2"/>
        <v>0</v>
      </c>
      <c r="O30" s="73"/>
      <c r="P30" s="71">
        <f t="shared" si="3"/>
        <v>0</v>
      </c>
      <c r="Q30" s="30"/>
      <c r="R30" s="30"/>
      <c r="S30" s="30"/>
      <c r="T30" s="30"/>
      <c r="X30" s="29"/>
    </row>
    <row r="31" spans="1:24" x14ac:dyDescent="0.25">
      <c r="A31" s="61"/>
      <c r="B31" s="61"/>
      <c r="C31" s="61"/>
      <c r="D31" s="61"/>
      <c r="E31" s="62"/>
      <c r="F31" s="62"/>
      <c r="G31" s="63">
        <f t="shared" si="0"/>
        <v>0</v>
      </c>
      <c r="H31" s="64"/>
      <c r="I31" s="65"/>
      <c r="J31" s="66">
        <v>1</v>
      </c>
      <c r="K31" s="63">
        <f t="shared" si="1"/>
        <v>0</v>
      </c>
      <c r="L31" s="67"/>
      <c r="M31" s="68"/>
      <c r="N31" s="69">
        <f t="shared" si="2"/>
        <v>0</v>
      </c>
      <c r="O31" s="73"/>
      <c r="P31" s="71">
        <f t="shared" si="3"/>
        <v>0</v>
      </c>
      <c r="Q31" s="30"/>
      <c r="R31" s="30"/>
      <c r="S31" s="30"/>
      <c r="T31" s="30"/>
      <c r="X31" s="29"/>
    </row>
    <row r="32" spans="1:24" x14ac:dyDescent="0.25">
      <c r="A32" s="61"/>
      <c r="B32" s="61"/>
      <c r="C32" s="61"/>
      <c r="D32" s="61"/>
      <c r="E32" s="62"/>
      <c r="F32" s="62"/>
      <c r="G32" s="63">
        <f t="shared" si="0"/>
        <v>0</v>
      </c>
      <c r="H32" s="64"/>
      <c r="I32" s="65"/>
      <c r="J32" s="66">
        <v>1</v>
      </c>
      <c r="K32" s="63">
        <f t="shared" si="1"/>
        <v>0</v>
      </c>
      <c r="L32" s="67"/>
      <c r="M32" s="68"/>
      <c r="N32" s="69">
        <f t="shared" si="2"/>
        <v>0</v>
      </c>
      <c r="O32" s="73"/>
      <c r="P32" s="71">
        <f t="shared" si="3"/>
        <v>0</v>
      </c>
      <c r="Q32" s="30"/>
      <c r="R32" s="30"/>
      <c r="S32" s="30"/>
      <c r="T32" s="30"/>
      <c r="X32" s="29"/>
    </row>
    <row r="33" spans="1:24" x14ac:dyDescent="0.25">
      <c r="A33" s="61"/>
      <c r="B33" s="61"/>
      <c r="C33" s="61"/>
      <c r="D33" s="61"/>
      <c r="E33" s="62"/>
      <c r="F33" s="62"/>
      <c r="G33" s="63">
        <f t="shared" si="0"/>
        <v>0</v>
      </c>
      <c r="H33" s="64"/>
      <c r="I33" s="65"/>
      <c r="J33" s="66">
        <v>1</v>
      </c>
      <c r="K33" s="63">
        <f t="shared" si="1"/>
        <v>0</v>
      </c>
      <c r="L33" s="67"/>
      <c r="M33" s="68"/>
      <c r="N33" s="69">
        <f t="shared" si="2"/>
        <v>0</v>
      </c>
      <c r="O33" s="73"/>
      <c r="P33" s="71">
        <f t="shared" si="3"/>
        <v>0</v>
      </c>
      <c r="Q33" s="30"/>
      <c r="R33" s="30"/>
      <c r="S33" s="30"/>
      <c r="T33" s="30"/>
      <c r="X33" s="29"/>
    </row>
    <row r="34" spans="1:24" x14ac:dyDescent="0.25">
      <c r="A34" s="61"/>
      <c r="B34" s="61"/>
      <c r="C34" s="61"/>
      <c r="D34" s="61"/>
      <c r="E34" s="62"/>
      <c r="F34" s="62"/>
      <c r="G34" s="63">
        <f t="shared" si="0"/>
        <v>0</v>
      </c>
      <c r="H34" s="64"/>
      <c r="I34" s="65"/>
      <c r="J34" s="66">
        <v>1</v>
      </c>
      <c r="K34" s="63">
        <f t="shared" si="1"/>
        <v>0</v>
      </c>
      <c r="L34" s="67"/>
      <c r="M34" s="68"/>
      <c r="N34" s="69">
        <f t="shared" si="2"/>
        <v>0</v>
      </c>
      <c r="O34" s="73"/>
      <c r="P34" s="71">
        <f t="shared" si="3"/>
        <v>0</v>
      </c>
      <c r="Q34" s="30"/>
      <c r="R34" s="30"/>
      <c r="S34" s="30"/>
      <c r="T34" s="30"/>
      <c r="X34" s="29"/>
    </row>
    <row r="35" spans="1:24" x14ac:dyDescent="0.25">
      <c r="A35" s="61"/>
      <c r="B35" s="61"/>
      <c r="C35" s="61"/>
      <c r="D35" s="61"/>
      <c r="E35" s="62"/>
      <c r="F35" s="62"/>
      <c r="G35" s="63">
        <f t="shared" si="0"/>
        <v>0</v>
      </c>
      <c r="H35" s="64"/>
      <c r="I35" s="65"/>
      <c r="J35" s="66">
        <v>1</v>
      </c>
      <c r="K35" s="63">
        <f t="shared" si="1"/>
        <v>0</v>
      </c>
      <c r="L35" s="67"/>
      <c r="M35" s="68"/>
      <c r="N35" s="69">
        <f t="shared" si="2"/>
        <v>0</v>
      </c>
      <c r="O35" s="73"/>
      <c r="P35" s="71">
        <f t="shared" si="3"/>
        <v>0</v>
      </c>
      <c r="Q35" s="30"/>
      <c r="R35" s="30"/>
      <c r="S35" s="30"/>
      <c r="T35" s="30"/>
      <c r="X35" s="29"/>
    </row>
    <row r="36" spans="1:24" x14ac:dyDescent="0.25">
      <c r="A36" s="61"/>
      <c r="B36" s="61"/>
      <c r="C36" s="61"/>
      <c r="D36" s="61"/>
      <c r="E36" s="62"/>
      <c r="F36" s="62"/>
      <c r="G36" s="63">
        <f t="shared" si="0"/>
        <v>0</v>
      </c>
      <c r="H36" s="64"/>
      <c r="I36" s="65"/>
      <c r="J36" s="66">
        <v>1</v>
      </c>
      <c r="K36" s="63">
        <f t="shared" si="1"/>
        <v>0</v>
      </c>
      <c r="L36" s="67"/>
      <c r="M36" s="68"/>
      <c r="N36" s="69">
        <f t="shared" si="2"/>
        <v>0</v>
      </c>
      <c r="O36" s="73"/>
      <c r="P36" s="71">
        <f t="shared" si="3"/>
        <v>0</v>
      </c>
      <c r="Q36" s="30"/>
      <c r="R36" s="30"/>
      <c r="S36" s="30"/>
      <c r="T36" s="30"/>
      <c r="X36" s="29"/>
    </row>
    <row r="37" spans="1:24" x14ac:dyDescent="0.25">
      <c r="A37" s="61"/>
      <c r="B37" s="61"/>
      <c r="C37" s="61"/>
      <c r="D37" s="61"/>
      <c r="E37" s="62"/>
      <c r="F37" s="62"/>
      <c r="G37" s="63">
        <f t="shared" si="0"/>
        <v>0</v>
      </c>
      <c r="H37" s="64"/>
      <c r="I37" s="65"/>
      <c r="J37" s="66">
        <v>1</v>
      </c>
      <c r="K37" s="63">
        <f t="shared" si="1"/>
        <v>0</v>
      </c>
      <c r="L37" s="67"/>
      <c r="M37" s="68"/>
      <c r="N37" s="69">
        <f t="shared" si="2"/>
        <v>0</v>
      </c>
      <c r="O37" s="73"/>
      <c r="P37" s="71">
        <f t="shared" si="3"/>
        <v>0</v>
      </c>
      <c r="Q37" s="30"/>
      <c r="R37" s="30"/>
      <c r="S37" s="30"/>
      <c r="T37" s="30"/>
      <c r="X37" s="29"/>
    </row>
    <row r="38" spans="1:24" x14ac:dyDescent="0.25">
      <c r="A38" s="61"/>
      <c r="B38" s="61"/>
      <c r="C38" s="61"/>
      <c r="D38" s="61"/>
      <c r="E38" s="62"/>
      <c r="F38" s="62"/>
      <c r="G38" s="63">
        <f t="shared" si="0"/>
        <v>0</v>
      </c>
      <c r="H38" s="64"/>
      <c r="I38" s="65"/>
      <c r="J38" s="66">
        <v>1</v>
      </c>
      <c r="K38" s="63">
        <f t="shared" si="1"/>
        <v>0</v>
      </c>
      <c r="L38" s="67"/>
      <c r="M38" s="68"/>
      <c r="N38" s="69">
        <f t="shared" si="2"/>
        <v>0</v>
      </c>
      <c r="O38" s="73"/>
      <c r="P38" s="71">
        <f t="shared" si="3"/>
        <v>0</v>
      </c>
      <c r="Q38" s="30"/>
      <c r="R38" s="30"/>
      <c r="S38" s="30"/>
      <c r="T38" s="30"/>
      <c r="X38" s="29"/>
    </row>
    <row r="39" spans="1:24" x14ac:dyDescent="0.25">
      <c r="A39" s="61"/>
      <c r="B39" s="61"/>
      <c r="C39" s="61"/>
      <c r="D39" s="61"/>
      <c r="E39" s="62"/>
      <c r="F39" s="62"/>
      <c r="G39" s="63">
        <f t="shared" si="0"/>
        <v>0</v>
      </c>
      <c r="H39" s="64"/>
      <c r="I39" s="65"/>
      <c r="J39" s="66">
        <v>1</v>
      </c>
      <c r="K39" s="63">
        <f t="shared" si="1"/>
        <v>0</v>
      </c>
      <c r="L39" s="67"/>
      <c r="M39" s="68"/>
      <c r="N39" s="69">
        <f t="shared" si="2"/>
        <v>0</v>
      </c>
      <c r="O39" s="73"/>
      <c r="P39" s="71">
        <f t="shared" si="3"/>
        <v>0</v>
      </c>
      <c r="Q39" s="30"/>
      <c r="R39" s="30"/>
      <c r="S39" s="30"/>
      <c r="T39" s="30"/>
      <c r="X39" s="29"/>
    </row>
    <row r="40" spans="1:24" x14ac:dyDescent="0.25">
      <c r="A40" s="74" t="s">
        <v>369</v>
      </c>
      <c r="O40" s="30"/>
      <c r="Q40" s="30"/>
      <c r="R40" s="30"/>
      <c r="S40" s="30"/>
      <c r="T40" s="30"/>
      <c r="X40" s="29"/>
    </row>
    <row r="41" spans="1:24" x14ac:dyDescent="0.25">
      <c r="A41" s="74"/>
      <c r="O41" s="30"/>
      <c r="Q41" s="30"/>
      <c r="R41" s="30"/>
      <c r="S41" s="30"/>
      <c r="T41" s="30"/>
      <c r="X41" s="29"/>
    </row>
    <row r="42" spans="1:24" x14ac:dyDescent="0.25">
      <c r="A42" s="74"/>
      <c r="K42" s="233" t="s">
        <v>175</v>
      </c>
      <c r="O42" s="30"/>
      <c r="Q42" s="30"/>
      <c r="R42" s="30"/>
      <c r="S42" s="30"/>
      <c r="T42" s="30"/>
      <c r="X42" s="29"/>
    </row>
    <row r="43" spans="1:24" ht="13" x14ac:dyDescent="0.3">
      <c r="K43" s="234"/>
      <c r="L43" s="24"/>
      <c r="O43" s="30"/>
      <c r="Q43" s="30"/>
      <c r="R43" s="30"/>
      <c r="S43" s="30"/>
      <c r="T43" s="30"/>
      <c r="X43" s="29"/>
    </row>
    <row r="44" spans="1:24" ht="33.75" customHeight="1" x14ac:dyDescent="0.25">
      <c r="K44" s="75" t="s">
        <v>176</v>
      </c>
      <c r="M44" s="38" t="s">
        <v>57</v>
      </c>
      <c r="N44" s="38" t="s">
        <v>61</v>
      </c>
      <c r="O44" s="30"/>
      <c r="Q44" s="30"/>
      <c r="R44" s="30"/>
      <c r="S44" s="30"/>
      <c r="T44" s="30"/>
      <c r="X44" s="29"/>
    </row>
    <row r="45" spans="1:24" ht="15.5" x14ac:dyDescent="0.35">
      <c r="A45" s="39" t="s">
        <v>21</v>
      </c>
      <c r="B45" s="39"/>
      <c r="C45" s="40"/>
      <c r="D45" s="40"/>
      <c r="E45" s="40"/>
      <c r="F45" s="40"/>
      <c r="G45" s="40"/>
      <c r="H45" s="40"/>
      <c r="I45" s="40"/>
      <c r="J45" s="40"/>
      <c r="K45" s="41">
        <f>SUM(K49:K63)</f>
        <v>0</v>
      </c>
      <c r="M45" s="76">
        <f>N45/8760/(K45+1E-50)</f>
        <v>0</v>
      </c>
      <c r="N45" s="44">
        <f>SUM(N49:N63)</f>
        <v>0</v>
      </c>
      <c r="O45" s="30"/>
      <c r="Q45" s="30"/>
      <c r="R45" s="30"/>
      <c r="S45" s="30"/>
      <c r="T45" s="30"/>
      <c r="X45" s="29"/>
    </row>
    <row r="46" spans="1:24" ht="13" x14ac:dyDescent="0.3">
      <c r="A46" s="214" t="s">
        <v>16</v>
      </c>
      <c r="B46" s="215"/>
      <c r="C46" s="45" t="s">
        <v>0</v>
      </c>
      <c r="D46" s="46" t="s">
        <v>1</v>
      </c>
      <c r="E46" s="46" t="s">
        <v>1</v>
      </c>
      <c r="F46" s="46" t="s">
        <v>2</v>
      </c>
      <c r="G46" s="46" t="s">
        <v>3</v>
      </c>
      <c r="H46" s="216" t="s">
        <v>4</v>
      </c>
      <c r="I46" s="217"/>
      <c r="J46" s="47"/>
      <c r="K46" s="46" t="s">
        <v>56</v>
      </c>
      <c r="M46" s="50" t="s">
        <v>55</v>
      </c>
      <c r="N46" s="50" t="s">
        <v>55</v>
      </c>
      <c r="O46" s="30"/>
      <c r="Q46" s="30"/>
      <c r="R46" s="30"/>
      <c r="S46" s="30"/>
      <c r="T46" s="30"/>
      <c r="X46" s="29"/>
    </row>
    <row r="47" spans="1:24" ht="12.75" customHeight="1" x14ac:dyDescent="0.4">
      <c r="A47" s="235" t="s">
        <v>36</v>
      </c>
      <c r="B47" s="236"/>
      <c r="C47" s="51"/>
      <c r="D47" s="52" t="s">
        <v>358</v>
      </c>
      <c r="E47" s="52" t="s">
        <v>6</v>
      </c>
      <c r="F47" s="52" t="s">
        <v>7</v>
      </c>
      <c r="G47" s="52" t="s">
        <v>8</v>
      </c>
      <c r="H47" s="53" t="s">
        <v>63</v>
      </c>
      <c r="I47" s="54" t="s">
        <v>64</v>
      </c>
      <c r="J47" s="47"/>
      <c r="K47" s="52" t="s">
        <v>9</v>
      </c>
      <c r="M47" s="50" t="s">
        <v>58</v>
      </c>
      <c r="N47" s="50" t="s">
        <v>60</v>
      </c>
      <c r="O47" s="30"/>
      <c r="Q47" s="30"/>
      <c r="R47" s="30"/>
      <c r="S47" s="30"/>
      <c r="T47" s="30"/>
      <c r="X47" s="29"/>
    </row>
    <row r="48" spans="1:24" x14ac:dyDescent="0.25">
      <c r="A48" s="57" t="s">
        <v>17</v>
      </c>
      <c r="B48" s="57" t="s">
        <v>18</v>
      </c>
      <c r="C48" s="51"/>
      <c r="D48" s="52" t="s">
        <v>10</v>
      </c>
      <c r="E48" s="52" t="s">
        <v>10</v>
      </c>
      <c r="F48" s="52" t="s">
        <v>11</v>
      </c>
      <c r="G48" s="52" t="s">
        <v>12</v>
      </c>
      <c r="H48" s="59" t="s">
        <v>13</v>
      </c>
      <c r="I48" s="48" t="s">
        <v>14</v>
      </c>
      <c r="J48" s="46"/>
      <c r="K48" s="52" t="s">
        <v>12</v>
      </c>
      <c r="M48" s="50" t="s">
        <v>59</v>
      </c>
      <c r="N48" s="50" t="s">
        <v>25</v>
      </c>
      <c r="O48" s="30"/>
      <c r="Q48" s="30"/>
      <c r="R48" s="30"/>
      <c r="S48" s="30"/>
      <c r="T48" s="30"/>
      <c r="X48" s="29"/>
    </row>
    <row r="49" spans="1:24" x14ac:dyDescent="0.25">
      <c r="A49" s="77"/>
      <c r="B49" s="77"/>
      <c r="C49" s="77"/>
      <c r="D49" s="77"/>
      <c r="E49" s="78"/>
      <c r="F49" s="78"/>
      <c r="G49" s="79">
        <f>F49*E49</f>
        <v>0</v>
      </c>
      <c r="H49" s="77"/>
      <c r="I49" s="77"/>
      <c r="J49" s="80">
        <v>1</v>
      </c>
      <c r="K49" s="79">
        <f>G49*H49/24*I49/7*J49</f>
        <v>0</v>
      </c>
      <c r="M49" s="81"/>
      <c r="N49" s="69">
        <f>M49*K49*8760</f>
        <v>0</v>
      </c>
      <c r="O49" s="73"/>
      <c r="P49" s="73"/>
      <c r="Q49" s="30"/>
      <c r="R49" s="30"/>
      <c r="S49" s="30"/>
      <c r="T49" s="30"/>
      <c r="X49" s="29"/>
    </row>
    <row r="50" spans="1:24" x14ac:dyDescent="0.25">
      <c r="A50" s="77"/>
      <c r="B50" s="77"/>
      <c r="C50" s="77"/>
      <c r="D50" s="77"/>
      <c r="E50" s="78"/>
      <c r="F50" s="78"/>
      <c r="G50" s="79">
        <f>F50*E50</f>
        <v>0</v>
      </c>
      <c r="H50" s="77"/>
      <c r="I50" s="77"/>
      <c r="J50" s="80">
        <v>1</v>
      </c>
      <c r="K50" s="79">
        <f>G50*H50/24*I50/7*J50</f>
        <v>0</v>
      </c>
      <c r="M50" s="81"/>
      <c r="N50" s="69">
        <f t="shared" ref="N50:N63" si="4">M50*K50*8760</f>
        <v>0</v>
      </c>
      <c r="O50" s="73"/>
      <c r="P50" s="73"/>
      <c r="Q50" s="30"/>
      <c r="R50" s="30"/>
      <c r="S50" s="30"/>
      <c r="T50" s="30"/>
      <c r="X50" s="29"/>
    </row>
    <row r="51" spans="1:24" x14ac:dyDescent="0.25">
      <c r="A51" s="77"/>
      <c r="B51" s="77"/>
      <c r="C51" s="77"/>
      <c r="D51" s="77"/>
      <c r="E51" s="78"/>
      <c r="F51" s="78"/>
      <c r="G51" s="79">
        <f>F51*E51</f>
        <v>0</v>
      </c>
      <c r="H51" s="77"/>
      <c r="I51" s="77"/>
      <c r="J51" s="80">
        <v>1</v>
      </c>
      <c r="K51" s="79">
        <f>G51*H51/24*I51/7*J51</f>
        <v>0</v>
      </c>
      <c r="M51" s="81"/>
      <c r="N51" s="69">
        <f t="shared" si="4"/>
        <v>0</v>
      </c>
      <c r="O51" s="73"/>
      <c r="P51" s="73"/>
      <c r="Q51" s="30"/>
      <c r="R51" s="30"/>
      <c r="S51" s="30"/>
      <c r="T51" s="30"/>
      <c r="X51" s="29"/>
    </row>
    <row r="52" spans="1:24" x14ac:dyDescent="0.25">
      <c r="A52" s="77"/>
      <c r="B52" s="77"/>
      <c r="C52" s="77"/>
      <c r="D52" s="77"/>
      <c r="E52" s="78"/>
      <c r="F52" s="78"/>
      <c r="G52" s="79">
        <f>F52*E52</f>
        <v>0</v>
      </c>
      <c r="H52" s="77"/>
      <c r="I52" s="77"/>
      <c r="J52" s="80">
        <v>1</v>
      </c>
      <c r="K52" s="79">
        <f>G52*H52/24*I52/7*J52</f>
        <v>0</v>
      </c>
      <c r="M52" s="81"/>
      <c r="N52" s="69">
        <f t="shared" si="4"/>
        <v>0</v>
      </c>
      <c r="O52" s="73"/>
      <c r="P52" s="73"/>
      <c r="Q52" s="30"/>
      <c r="R52" s="30"/>
      <c r="S52" s="30"/>
      <c r="T52" s="30"/>
      <c r="X52" s="29"/>
    </row>
    <row r="53" spans="1:24" x14ac:dyDescent="0.25">
      <c r="A53" s="77"/>
      <c r="B53" s="77"/>
      <c r="C53" s="77"/>
      <c r="D53" s="77"/>
      <c r="E53" s="78"/>
      <c r="F53" s="78"/>
      <c r="G53" s="79">
        <f>F53*E53</f>
        <v>0</v>
      </c>
      <c r="H53" s="77"/>
      <c r="I53" s="77"/>
      <c r="J53" s="80">
        <v>1</v>
      </c>
      <c r="K53" s="79">
        <f>G53*H53/24*I53/7*J53</f>
        <v>0</v>
      </c>
      <c r="M53" s="81"/>
      <c r="N53" s="69">
        <f t="shared" si="4"/>
        <v>0</v>
      </c>
      <c r="O53" s="73"/>
      <c r="P53" s="73"/>
      <c r="Q53" s="30"/>
      <c r="R53" s="30"/>
      <c r="S53" s="30"/>
      <c r="T53" s="30"/>
      <c r="X53" s="29"/>
    </row>
    <row r="54" spans="1:24" x14ac:dyDescent="0.25">
      <c r="A54" s="77"/>
      <c r="B54" s="77"/>
      <c r="C54" s="77"/>
      <c r="D54" s="77"/>
      <c r="E54" s="78"/>
      <c r="F54" s="78"/>
      <c r="G54" s="79">
        <f t="shared" ref="G54:G63" si="5">F54*E54</f>
        <v>0</v>
      </c>
      <c r="H54" s="77"/>
      <c r="I54" s="77"/>
      <c r="J54" s="80">
        <v>1</v>
      </c>
      <c r="K54" s="79">
        <f t="shared" ref="K54:K63" si="6">G54*H54/24*I54/7*J54</f>
        <v>0</v>
      </c>
      <c r="M54" s="81"/>
      <c r="N54" s="69">
        <f t="shared" si="4"/>
        <v>0</v>
      </c>
      <c r="O54" s="73"/>
      <c r="P54" s="73"/>
      <c r="Q54" s="30"/>
      <c r="R54" s="30"/>
      <c r="S54" s="30"/>
      <c r="T54" s="30"/>
      <c r="X54" s="29"/>
    </row>
    <row r="55" spans="1:24" x14ac:dyDescent="0.25">
      <c r="A55" s="77"/>
      <c r="B55" s="77"/>
      <c r="C55" s="77"/>
      <c r="D55" s="77"/>
      <c r="E55" s="78"/>
      <c r="F55" s="78"/>
      <c r="G55" s="79">
        <f t="shared" si="5"/>
        <v>0</v>
      </c>
      <c r="H55" s="77"/>
      <c r="I55" s="77"/>
      <c r="J55" s="80">
        <v>1</v>
      </c>
      <c r="K55" s="79">
        <f t="shared" si="6"/>
        <v>0</v>
      </c>
      <c r="M55" s="81"/>
      <c r="N55" s="69">
        <f t="shared" si="4"/>
        <v>0</v>
      </c>
      <c r="O55" s="73"/>
      <c r="P55" s="73"/>
      <c r="Q55" s="30"/>
      <c r="R55" s="30"/>
      <c r="S55" s="30"/>
      <c r="T55" s="30"/>
      <c r="X55" s="29"/>
    </row>
    <row r="56" spans="1:24" x14ac:dyDescent="0.25">
      <c r="A56" s="77"/>
      <c r="B56" s="77"/>
      <c r="C56" s="77"/>
      <c r="D56" s="77"/>
      <c r="E56" s="78"/>
      <c r="F56" s="78"/>
      <c r="G56" s="79">
        <f t="shared" si="5"/>
        <v>0</v>
      </c>
      <c r="H56" s="77"/>
      <c r="I56" s="77"/>
      <c r="J56" s="80">
        <v>1</v>
      </c>
      <c r="K56" s="79">
        <f t="shared" si="6"/>
        <v>0</v>
      </c>
      <c r="M56" s="81"/>
      <c r="N56" s="69">
        <f t="shared" si="4"/>
        <v>0</v>
      </c>
      <c r="O56" s="73"/>
      <c r="P56" s="73"/>
      <c r="Q56" s="30"/>
      <c r="R56" s="30"/>
      <c r="S56" s="30"/>
      <c r="T56" s="30"/>
      <c r="X56" s="29"/>
    </row>
    <row r="57" spans="1:24" x14ac:dyDescent="0.25">
      <c r="A57" s="77"/>
      <c r="B57" s="77"/>
      <c r="C57" s="77"/>
      <c r="D57" s="77"/>
      <c r="E57" s="78"/>
      <c r="F57" s="78"/>
      <c r="G57" s="79">
        <f t="shared" si="5"/>
        <v>0</v>
      </c>
      <c r="H57" s="77"/>
      <c r="I57" s="77"/>
      <c r="J57" s="80">
        <v>1</v>
      </c>
      <c r="K57" s="79">
        <f t="shared" si="6"/>
        <v>0</v>
      </c>
      <c r="M57" s="81"/>
      <c r="N57" s="69">
        <f t="shared" si="4"/>
        <v>0</v>
      </c>
      <c r="O57" s="73"/>
      <c r="P57" s="73"/>
      <c r="Q57" s="30"/>
      <c r="R57" s="30"/>
      <c r="S57" s="30"/>
      <c r="T57" s="30"/>
      <c r="X57" s="29"/>
    </row>
    <row r="58" spans="1:24" x14ac:dyDescent="0.25">
      <c r="A58" s="77"/>
      <c r="B58" s="77"/>
      <c r="C58" s="77"/>
      <c r="D58" s="77"/>
      <c r="E58" s="78"/>
      <c r="F58" s="78"/>
      <c r="G58" s="79">
        <f t="shared" si="5"/>
        <v>0</v>
      </c>
      <c r="H58" s="77"/>
      <c r="I58" s="77"/>
      <c r="J58" s="80">
        <v>1</v>
      </c>
      <c r="K58" s="79">
        <f t="shared" si="6"/>
        <v>0</v>
      </c>
      <c r="M58" s="81"/>
      <c r="N58" s="69">
        <f t="shared" si="4"/>
        <v>0</v>
      </c>
      <c r="O58" s="70"/>
      <c r="P58" s="70"/>
      <c r="X58" s="29"/>
    </row>
    <row r="59" spans="1:24" x14ac:dyDescent="0.25">
      <c r="A59" s="77"/>
      <c r="B59" s="77"/>
      <c r="C59" s="77"/>
      <c r="D59" s="77"/>
      <c r="E59" s="78"/>
      <c r="F59" s="78"/>
      <c r="G59" s="79">
        <f t="shared" si="5"/>
        <v>0</v>
      </c>
      <c r="H59" s="77"/>
      <c r="I59" s="77"/>
      <c r="J59" s="80">
        <v>1</v>
      </c>
      <c r="K59" s="79">
        <f t="shared" si="6"/>
        <v>0</v>
      </c>
      <c r="M59" s="81"/>
      <c r="N59" s="69">
        <f t="shared" si="4"/>
        <v>0</v>
      </c>
      <c r="O59" s="70"/>
      <c r="P59" s="70"/>
      <c r="X59" s="29"/>
    </row>
    <row r="60" spans="1:24" x14ac:dyDescent="0.25">
      <c r="A60" s="77"/>
      <c r="B60" s="77"/>
      <c r="C60" s="77"/>
      <c r="D60" s="77"/>
      <c r="E60" s="78"/>
      <c r="F60" s="78"/>
      <c r="G60" s="79">
        <f t="shared" si="5"/>
        <v>0</v>
      </c>
      <c r="H60" s="77"/>
      <c r="I60" s="77"/>
      <c r="J60" s="80">
        <v>1</v>
      </c>
      <c r="K60" s="79">
        <f t="shared" si="6"/>
        <v>0</v>
      </c>
      <c r="M60" s="81"/>
      <c r="N60" s="69">
        <f t="shared" si="4"/>
        <v>0</v>
      </c>
      <c r="O60" s="70"/>
      <c r="P60" s="70"/>
      <c r="X60" s="29"/>
    </row>
    <row r="61" spans="1:24" x14ac:dyDescent="0.25">
      <c r="A61" s="77"/>
      <c r="B61" s="77"/>
      <c r="C61" s="77"/>
      <c r="D61" s="77"/>
      <c r="E61" s="78"/>
      <c r="F61" s="78"/>
      <c r="G61" s="79">
        <f t="shared" si="5"/>
        <v>0</v>
      </c>
      <c r="H61" s="77"/>
      <c r="I61" s="77"/>
      <c r="J61" s="80">
        <v>1</v>
      </c>
      <c r="K61" s="79">
        <f t="shared" si="6"/>
        <v>0</v>
      </c>
      <c r="M61" s="81"/>
      <c r="N61" s="69">
        <f t="shared" si="4"/>
        <v>0</v>
      </c>
      <c r="O61" s="70"/>
      <c r="P61" s="70"/>
      <c r="X61" s="29"/>
    </row>
    <row r="62" spans="1:24" ht="13" x14ac:dyDescent="0.3">
      <c r="A62" s="77"/>
      <c r="B62" s="77"/>
      <c r="C62" s="77"/>
      <c r="D62" s="77"/>
      <c r="E62" s="78"/>
      <c r="F62" s="78"/>
      <c r="G62" s="79">
        <f t="shared" si="5"/>
        <v>0</v>
      </c>
      <c r="H62" s="77"/>
      <c r="I62" s="77"/>
      <c r="J62" s="80">
        <v>1</v>
      </c>
      <c r="K62" s="79">
        <f t="shared" si="6"/>
        <v>0</v>
      </c>
      <c r="M62" s="81"/>
      <c r="N62" s="69">
        <f t="shared" si="4"/>
        <v>0</v>
      </c>
      <c r="O62" s="82"/>
      <c r="P62" s="82"/>
      <c r="X62" s="29"/>
    </row>
    <row r="63" spans="1:24" x14ac:dyDescent="0.25">
      <c r="A63" s="77"/>
      <c r="B63" s="77"/>
      <c r="C63" s="77"/>
      <c r="D63" s="77"/>
      <c r="E63" s="78"/>
      <c r="F63" s="78"/>
      <c r="G63" s="79">
        <f t="shared" si="5"/>
        <v>0</v>
      </c>
      <c r="H63" s="77"/>
      <c r="I63" s="77"/>
      <c r="J63" s="80">
        <v>1</v>
      </c>
      <c r="K63" s="79">
        <f t="shared" si="6"/>
        <v>0</v>
      </c>
      <c r="M63" s="81"/>
      <c r="N63" s="69">
        <f t="shared" si="4"/>
        <v>0</v>
      </c>
      <c r="P63" s="83"/>
      <c r="X63" s="29"/>
    </row>
    <row r="64" spans="1:24" ht="13" x14ac:dyDescent="0.3">
      <c r="A64" s="74" t="str">
        <f>A$40</f>
        <v>© Ympäristöministeriö, PILP-laskin 2018 (versio maaliskuu 2017)</v>
      </c>
      <c r="K64" s="84"/>
      <c r="N64" s="85"/>
      <c r="P64" s="83"/>
      <c r="X64" s="29"/>
    </row>
    <row r="65" spans="1:24" ht="13" x14ac:dyDescent="0.3">
      <c r="K65" s="84"/>
      <c r="N65" s="85"/>
      <c r="P65" s="83"/>
      <c r="X65" s="29"/>
    </row>
    <row r="66" spans="1:24" x14ac:dyDescent="0.25">
      <c r="L66" s="233" t="s">
        <v>175</v>
      </c>
      <c r="N66" s="85"/>
      <c r="P66" s="83"/>
      <c r="X66" s="29"/>
    </row>
    <row r="67" spans="1:24" ht="13.5" customHeight="1" x14ac:dyDescent="0.25">
      <c r="L67" s="234"/>
      <c r="M67" s="27"/>
      <c r="N67" s="85"/>
      <c r="P67" s="83"/>
      <c r="X67" s="29"/>
    </row>
    <row r="68" spans="1:24" ht="42.75" customHeight="1" x14ac:dyDescent="0.25">
      <c r="K68" s="35" t="s">
        <v>176</v>
      </c>
      <c r="L68" s="36" t="s">
        <v>177</v>
      </c>
      <c r="M68" s="37" t="s">
        <v>57</v>
      </c>
      <c r="N68" s="38" t="s">
        <v>61</v>
      </c>
    </row>
    <row r="69" spans="1:24" ht="15.5" x14ac:dyDescent="0.35">
      <c r="A69" s="39" t="s">
        <v>22</v>
      </c>
      <c r="B69" s="39"/>
      <c r="C69" s="40"/>
      <c r="D69" s="40"/>
      <c r="E69" s="40"/>
      <c r="F69" s="40"/>
      <c r="G69" s="40"/>
      <c r="H69" s="40"/>
      <c r="I69" s="40"/>
      <c r="J69" s="40"/>
      <c r="K69" s="41">
        <f>SUM(K73:K97)</f>
        <v>0</v>
      </c>
      <c r="L69" s="42">
        <f>P71/(K69+1E-50)</f>
        <v>0</v>
      </c>
      <c r="M69" s="43">
        <f>N69/8760/(K69+1E-50)</f>
        <v>0</v>
      </c>
      <c r="N69" s="44">
        <f>SUM(N73:N97)</f>
        <v>0</v>
      </c>
    </row>
    <row r="70" spans="1:24" ht="13" x14ac:dyDescent="0.3">
      <c r="A70" s="214" t="s">
        <v>16</v>
      </c>
      <c r="B70" s="215"/>
      <c r="C70" s="45" t="s">
        <v>0</v>
      </c>
      <c r="D70" s="46" t="s">
        <v>1</v>
      </c>
      <c r="E70" s="46" t="s">
        <v>1</v>
      </c>
      <c r="F70" s="46" t="s">
        <v>2</v>
      </c>
      <c r="G70" s="46" t="s">
        <v>3</v>
      </c>
      <c r="H70" s="216" t="s">
        <v>4</v>
      </c>
      <c r="I70" s="217"/>
      <c r="J70" s="47"/>
      <c r="K70" s="46" t="s">
        <v>56</v>
      </c>
      <c r="L70" s="48" t="s">
        <v>55</v>
      </c>
      <c r="M70" s="49" t="s">
        <v>55</v>
      </c>
      <c r="N70" s="50" t="s">
        <v>55</v>
      </c>
      <c r="P70" s="30" t="s">
        <v>5</v>
      </c>
    </row>
    <row r="71" spans="1:24" ht="12.75" customHeight="1" x14ac:dyDescent="0.4">
      <c r="A71" s="235" t="s">
        <v>35</v>
      </c>
      <c r="B71" s="236"/>
      <c r="C71" s="51"/>
      <c r="D71" s="52" t="s">
        <v>358</v>
      </c>
      <c r="E71" s="52" t="s">
        <v>6</v>
      </c>
      <c r="F71" s="52" t="s">
        <v>7</v>
      </c>
      <c r="G71" s="52" t="s">
        <v>8</v>
      </c>
      <c r="H71" s="53" t="s">
        <v>63</v>
      </c>
      <c r="I71" s="54" t="s">
        <v>64</v>
      </c>
      <c r="J71" s="47"/>
      <c r="K71" s="52" t="s">
        <v>9</v>
      </c>
      <c r="L71" s="55" t="s">
        <v>62</v>
      </c>
      <c r="M71" s="49" t="s">
        <v>58</v>
      </c>
      <c r="N71" s="50" t="s">
        <v>60</v>
      </c>
      <c r="P71" s="86">
        <f>SUM(P73:P97)</f>
        <v>0</v>
      </c>
    </row>
    <row r="72" spans="1:24" ht="15.5" x14ac:dyDescent="0.4">
      <c r="A72" s="57" t="s">
        <v>17</v>
      </c>
      <c r="B72" s="57" t="s">
        <v>18</v>
      </c>
      <c r="C72" s="51"/>
      <c r="D72" s="52" t="s">
        <v>10</v>
      </c>
      <c r="E72" s="52" t="s">
        <v>10</v>
      </c>
      <c r="F72" s="52" t="s">
        <v>11</v>
      </c>
      <c r="G72" s="52" t="s">
        <v>12</v>
      </c>
      <c r="H72" s="59" t="s">
        <v>13</v>
      </c>
      <c r="I72" s="48" t="s">
        <v>14</v>
      </c>
      <c r="J72" s="46"/>
      <c r="K72" s="52" t="s">
        <v>12</v>
      </c>
      <c r="L72" s="55" t="s">
        <v>178</v>
      </c>
      <c r="M72" s="49" t="s">
        <v>59</v>
      </c>
      <c r="N72" s="50" t="s">
        <v>25</v>
      </c>
    </row>
    <row r="73" spans="1:24" x14ac:dyDescent="0.25">
      <c r="A73" s="77"/>
      <c r="B73" s="77"/>
      <c r="C73" s="77"/>
      <c r="D73" s="78"/>
      <c r="E73" s="78"/>
      <c r="F73" s="78"/>
      <c r="G73" s="79">
        <f>F73*E73</f>
        <v>0</v>
      </c>
      <c r="H73" s="77"/>
      <c r="I73" s="77"/>
      <c r="J73" s="80">
        <v>1</v>
      </c>
      <c r="K73" s="79">
        <f>G73*H73/24*I73/7*J73</f>
        <v>0</v>
      </c>
      <c r="L73" s="87"/>
      <c r="M73" s="68"/>
      <c r="N73" s="69">
        <f>M73*K73*8760</f>
        <v>0</v>
      </c>
      <c r="O73" s="70"/>
      <c r="P73" s="88">
        <f t="shared" ref="P73:P97" si="7">K73*L73</f>
        <v>0</v>
      </c>
    </row>
    <row r="74" spans="1:24" x14ac:dyDescent="0.25">
      <c r="A74" s="77"/>
      <c r="B74" s="77"/>
      <c r="C74" s="77"/>
      <c r="D74" s="78"/>
      <c r="E74" s="78"/>
      <c r="F74" s="78"/>
      <c r="G74" s="79">
        <f t="shared" ref="G74:G97" si="8">F74*E74</f>
        <v>0</v>
      </c>
      <c r="H74" s="77"/>
      <c r="I74" s="77"/>
      <c r="J74" s="80">
        <v>1</v>
      </c>
      <c r="K74" s="79">
        <f t="shared" ref="K74:K97" si="9">G74*H74/24*I74/7*J74</f>
        <v>0</v>
      </c>
      <c r="L74" s="87"/>
      <c r="M74" s="68"/>
      <c r="N74" s="69">
        <f>M74*K74*8760</f>
        <v>0</v>
      </c>
      <c r="O74" s="70"/>
      <c r="P74" s="88">
        <f t="shared" si="7"/>
        <v>0</v>
      </c>
    </row>
    <row r="75" spans="1:24" x14ac:dyDescent="0.25">
      <c r="A75" s="77"/>
      <c r="B75" s="77"/>
      <c r="C75" s="77"/>
      <c r="D75" s="78"/>
      <c r="E75" s="78"/>
      <c r="F75" s="78"/>
      <c r="G75" s="79">
        <f t="shared" si="8"/>
        <v>0</v>
      </c>
      <c r="H75" s="77"/>
      <c r="I75" s="77"/>
      <c r="J75" s="80">
        <v>1</v>
      </c>
      <c r="K75" s="79">
        <f t="shared" si="9"/>
        <v>0</v>
      </c>
      <c r="L75" s="87"/>
      <c r="M75" s="68"/>
      <c r="N75" s="69">
        <f>M75*K75*8760</f>
        <v>0</v>
      </c>
      <c r="O75" s="70"/>
      <c r="P75" s="88">
        <f t="shared" si="7"/>
        <v>0</v>
      </c>
    </row>
    <row r="76" spans="1:24" x14ac:dyDescent="0.25">
      <c r="A76" s="77"/>
      <c r="B76" s="77"/>
      <c r="C76" s="77"/>
      <c r="D76" s="78"/>
      <c r="E76" s="78"/>
      <c r="F76" s="78"/>
      <c r="G76" s="79">
        <f t="shared" si="8"/>
        <v>0</v>
      </c>
      <c r="H76" s="77"/>
      <c r="I76" s="77"/>
      <c r="J76" s="80">
        <v>1</v>
      </c>
      <c r="K76" s="79">
        <f t="shared" si="9"/>
        <v>0</v>
      </c>
      <c r="L76" s="87"/>
      <c r="M76" s="68"/>
      <c r="N76" s="69">
        <f t="shared" ref="N76:N97" si="10">M76*K76*8760</f>
        <v>0</v>
      </c>
      <c r="O76" s="70"/>
      <c r="P76" s="88">
        <f t="shared" si="7"/>
        <v>0</v>
      </c>
    </row>
    <row r="77" spans="1:24" x14ac:dyDescent="0.25">
      <c r="A77" s="77"/>
      <c r="B77" s="77"/>
      <c r="C77" s="77"/>
      <c r="D77" s="78"/>
      <c r="E77" s="78"/>
      <c r="F77" s="78"/>
      <c r="G77" s="79">
        <f t="shared" si="8"/>
        <v>0</v>
      </c>
      <c r="H77" s="77"/>
      <c r="I77" s="77"/>
      <c r="J77" s="80">
        <v>1</v>
      </c>
      <c r="K77" s="79">
        <f t="shared" si="9"/>
        <v>0</v>
      </c>
      <c r="L77" s="87"/>
      <c r="M77" s="68"/>
      <c r="N77" s="69">
        <f t="shared" si="10"/>
        <v>0</v>
      </c>
      <c r="O77" s="70"/>
      <c r="P77" s="88">
        <f t="shared" si="7"/>
        <v>0</v>
      </c>
    </row>
    <row r="78" spans="1:24" x14ac:dyDescent="0.25">
      <c r="A78" s="77"/>
      <c r="B78" s="77"/>
      <c r="C78" s="77"/>
      <c r="D78" s="78"/>
      <c r="E78" s="78"/>
      <c r="F78" s="78"/>
      <c r="G78" s="79">
        <f t="shared" si="8"/>
        <v>0</v>
      </c>
      <c r="H78" s="77"/>
      <c r="I78" s="77"/>
      <c r="J78" s="80">
        <v>1</v>
      </c>
      <c r="K78" s="79">
        <f t="shared" si="9"/>
        <v>0</v>
      </c>
      <c r="L78" s="87"/>
      <c r="M78" s="68"/>
      <c r="N78" s="69">
        <f t="shared" si="10"/>
        <v>0</v>
      </c>
      <c r="O78" s="70"/>
      <c r="P78" s="88">
        <f t="shared" si="7"/>
        <v>0</v>
      </c>
    </row>
    <row r="79" spans="1:24" x14ac:dyDescent="0.25">
      <c r="A79" s="77"/>
      <c r="B79" s="77"/>
      <c r="C79" s="77"/>
      <c r="D79" s="78"/>
      <c r="E79" s="78"/>
      <c r="F79" s="78"/>
      <c r="G79" s="79">
        <f t="shared" si="8"/>
        <v>0</v>
      </c>
      <c r="H79" s="77"/>
      <c r="I79" s="77"/>
      <c r="J79" s="80">
        <v>1</v>
      </c>
      <c r="K79" s="79">
        <f t="shared" si="9"/>
        <v>0</v>
      </c>
      <c r="L79" s="87"/>
      <c r="M79" s="68"/>
      <c r="N79" s="69">
        <f t="shared" si="10"/>
        <v>0</v>
      </c>
      <c r="O79" s="70"/>
      <c r="P79" s="88">
        <f t="shared" si="7"/>
        <v>0</v>
      </c>
    </row>
    <row r="80" spans="1:24" x14ac:dyDescent="0.25">
      <c r="A80" s="77"/>
      <c r="B80" s="77"/>
      <c r="C80" s="77"/>
      <c r="D80" s="78"/>
      <c r="E80" s="78"/>
      <c r="F80" s="78"/>
      <c r="G80" s="79">
        <f t="shared" si="8"/>
        <v>0</v>
      </c>
      <c r="H80" s="77"/>
      <c r="I80" s="77"/>
      <c r="J80" s="80">
        <v>1</v>
      </c>
      <c r="K80" s="79">
        <f t="shared" si="9"/>
        <v>0</v>
      </c>
      <c r="L80" s="87"/>
      <c r="M80" s="68"/>
      <c r="N80" s="69">
        <f t="shared" si="10"/>
        <v>0</v>
      </c>
      <c r="O80" s="70"/>
      <c r="P80" s="88">
        <f t="shared" si="7"/>
        <v>0</v>
      </c>
    </row>
    <row r="81" spans="1:16" x14ac:dyDescent="0.25">
      <c r="A81" s="77"/>
      <c r="B81" s="77"/>
      <c r="C81" s="77"/>
      <c r="D81" s="78"/>
      <c r="E81" s="78"/>
      <c r="F81" s="78"/>
      <c r="G81" s="79">
        <f t="shared" si="8"/>
        <v>0</v>
      </c>
      <c r="H81" s="77"/>
      <c r="I81" s="77"/>
      <c r="J81" s="80">
        <v>1</v>
      </c>
      <c r="K81" s="79">
        <f t="shared" si="9"/>
        <v>0</v>
      </c>
      <c r="L81" s="87"/>
      <c r="M81" s="68"/>
      <c r="N81" s="69">
        <f t="shared" si="10"/>
        <v>0</v>
      </c>
      <c r="O81" s="70"/>
      <c r="P81" s="88">
        <f t="shared" si="7"/>
        <v>0</v>
      </c>
    </row>
    <row r="82" spans="1:16" x14ac:dyDescent="0.25">
      <c r="A82" s="77"/>
      <c r="B82" s="77"/>
      <c r="C82" s="77"/>
      <c r="D82" s="78"/>
      <c r="E82" s="78"/>
      <c r="F82" s="78"/>
      <c r="G82" s="79">
        <f t="shared" si="8"/>
        <v>0</v>
      </c>
      <c r="H82" s="77"/>
      <c r="I82" s="77"/>
      <c r="J82" s="80">
        <v>1</v>
      </c>
      <c r="K82" s="79">
        <f t="shared" si="9"/>
        <v>0</v>
      </c>
      <c r="L82" s="87"/>
      <c r="M82" s="68"/>
      <c r="N82" s="69">
        <f t="shared" si="10"/>
        <v>0</v>
      </c>
      <c r="O82" s="70"/>
      <c r="P82" s="88">
        <f t="shared" si="7"/>
        <v>0</v>
      </c>
    </row>
    <row r="83" spans="1:16" x14ac:dyDescent="0.25">
      <c r="A83" s="77"/>
      <c r="B83" s="77"/>
      <c r="C83" s="77"/>
      <c r="D83" s="78"/>
      <c r="E83" s="78"/>
      <c r="F83" s="78"/>
      <c r="G83" s="79">
        <f t="shared" si="8"/>
        <v>0</v>
      </c>
      <c r="H83" s="77"/>
      <c r="I83" s="77"/>
      <c r="J83" s="80">
        <v>1</v>
      </c>
      <c r="K83" s="79">
        <f t="shared" si="9"/>
        <v>0</v>
      </c>
      <c r="L83" s="87"/>
      <c r="M83" s="68"/>
      <c r="N83" s="69">
        <f t="shared" si="10"/>
        <v>0</v>
      </c>
      <c r="O83" s="70"/>
      <c r="P83" s="88">
        <f t="shared" si="7"/>
        <v>0</v>
      </c>
    </row>
    <row r="84" spans="1:16" x14ac:dyDescent="0.25">
      <c r="A84" s="77"/>
      <c r="B84" s="77"/>
      <c r="C84" s="77"/>
      <c r="D84" s="78"/>
      <c r="E84" s="78"/>
      <c r="F84" s="78"/>
      <c r="G84" s="79">
        <f t="shared" si="8"/>
        <v>0</v>
      </c>
      <c r="H84" s="77"/>
      <c r="I84" s="77"/>
      <c r="J84" s="80">
        <v>1</v>
      </c>
      <c r="K84" s="79">
        <f t="shared" si="9"/>
        <v>0</v>
      </c>
      <c r="L84" s="87"/>
      <c r="M84" s="68"/>
      <c r="N84" s="69">
        <f t="shared" si="10"/>
        <v>0</v>
      </c>
      <c r="O84" s="70"/>
      <c r="P84" s="88">
        <f t="shared" si="7"/>
        <v>0</v>
      </c>
    </row>
    <row r="85" spans="1:16" x14ac:dyDescent="0.25">
      <c r="A85" s="77"/>
      <c r="B85" s="77"/>
      <c r="C85" s="77"/>
      <c r="D85" s="78"/>
      <c r="E85" s="78"/>
      <c r="F85" s="78"/>
      <c r="G85" s="79">
        <f t="shared" si="8"/>
        <v>0</v>
      </c>
      <c r="H85" s="77"/>
      <c r="I85" s="77"/>
      <c r="J85" s="80">
        <v>1</v>
      </c>
      <c r="K85" s="79">
        <f t="shared" si="9"/>
        <v>0</v>
      </c>
      <c r="L85" s="87"/>
      <c r="M85" s="68"/>
      <c r="N85" s="69">
        <f t="shared" si="10"/>
        <v>0</v>
      </c>
      <c r="O85" s="70"/>
      <c r="P85" s="88">
        <f t="shared" si="7"/>
        <v>0</v>
      </c>
    </row>
    <row r="86" spans="1:16" x14ac:dyDescent="0.25">
      <c r="A86" s="77"/>
      <c r="B86" s="77"/>
      <c r="C86" s="77"/>
      <c r="D86" s="78"/>
      <c r="E86" s="78"/>
      <c r="F86" s="78"/>
      <c r="G86" s="79">
        <f t="shared" si="8"/>
        <v>0</v>
      </c>
      <c r="H86" s="77"/>
      <c r="I86" s="77"/>
      <c r="J86" s="80">
        <v>1</v>
      </c>
      <c r="K86" s="79">
        <f t="shared" si="9"/>
        <v>0</v>
      </c>
      <c r="L86" s="87"/>
      <c r="M86" s="68"/>
      <c r="N86" s="69">
        <f t="shared" si="10"/>
        <v>0</v>
      </c>
      <c r="O86" s="70"/>
      <c r="P86" s="88">
        <f t="shared" si="7"/>
        <v>0</v>
      </c>
    </row>
    <row r="87" spans="1:16" x14ac:dyDescent="0.25">
      <c r="A87" s="77"/>
      <c r="B87" s="77"/>
      <c r="C87" s="77"/>
      <c r="D87" s="78"/>
      <c r="E87" s="78"/>
      <c r="F87" s="78"/>
      <c r="G87" s="79">
        <f t="shared" si="8"/>
        <v>0</v>
      </c>
      <c r="H87" s="77"/>
      <c r="I87" s="77"/>
      <c r="J87" s="80">
        <v>1</v>
      </c>
      <c r="K87" s="79">
        <f t="shared" si="9"/>
        <v>0</v>
      </c>
      <c r="L87" s="87"/>
      <c r="M87" s="68"/>
      <c r="N87" s="69">
        <f t="shared" si="10"/>
        <v>0</v>
      </c>
      <c r="O87" s="70"/>
      <c r="P87" s="88">
        <f t="shared" si="7"/>
        <v>0</v>
      </c>
    </row>
    <row r="88" spans="1:16" x14ac:dyDescent="0.25">
      <c r="A88" s="77"/>
      <c r="B88" s="77"/>
      <c r="C88" s="77"/>
      <c r="D88" s="78"/>
      <c r="E88" s="78"/>
      <c r="F88" s="78"/>
      <c r="G88" s="79">
        <f t="shared" si="8"/>
        <v>0</v>
      </c>
      <c r="H88" s="77"/>
      <c r="I88" s="77"/>
      <c r="J88" s="80">
        <v>1</v>
      </c>
      <c r="K88" s="79">
        <f t="shared" si="9"/>
        <v>0</v>
      </c>
      <c r="L88" s="87"/>
      <c r="M88" s="68"/>
      <c r="N88" s="69">
        <f t="shared" si="10"/>
        <v>0</v>
      </c>
      <c r="O88" s="70"/>
      <c r="P88" s="88">
        <f t="shared" si="7"/>
        <v>0</v>
      </c>
    </row>
    <row r="89" spans="1:16" x14ac:dyDescent="0.25">
      <c r="A89" s="77"/>
      <c r="B89" s="77"/>
      <c r="C89" s="77"/>
      <c r="D89" s="78"/>
      <c r="E89" s="78"/>
      <c r="F89" s="78"/>
      <c r="G89" s="79">
        <f t="shared" si="8"/>
        <v>0</v>
      </c>
      <c r="H89" s="77"/>
      <c r="I89" s="77"/>
      <c r="J89" s="80">
        <v>1</v>
      </c>
      <c r="K89" s="79">
        <f t="shared" si="9"/>
        <v>0</v>
      </c>
      <c r="L89" s="87"/>
      <c r="M89" s="68"/>
      <c r="N89" s="69">
        <f t="shared" si="10"/>
        <v>0</v>
      </c>
      <c r="O89" s="70"/>
      <c r="P89" s="88">
        <f t="shared" si="7"/>
        <v>0</v>
      </c>
    </row>
    <row r="90" spans="1:16" x14ac:dyDescent="0.25">
      <c r="A90" s="77"/>
      <c r="B90" s="77"/>
      <c r="C90" s="77"/>
      <c r="D90" s="78"/>
      <c r="E90" s="78"/>
      <c r="F90" s="78"/>
      <c r="G90" s="79">
        <f t="shared" si="8"/>
        <v>0</v>
      </c>
      <c r="H90" s="77"/>
      <c r="I90" s="77"/>
      <c r="J90" s="80">
        <v>1</v>
      </c>
      <c r="K90" s="79">
        <f t="shared" si="9"/>
        <v>0</v>
      </c>
      <c r="L90" s="87"/>
      <c r="M90" s="68"/>
      <c r="N90" s="69">
        <f t="shared" si="10"/>
        <v>0</v>
      </c>
      <c r="O90" s="70"/>
      <c r="P90" s="88">
        <f t="shared" si="7"/>
        <v>0</v>
      </c>
    </row>
    <row r="91" spans="1:16" x14ac:dyDescent="0.25">
      <c r="A91" s="77"/>
      <c r="B91" s="77"/>
      <c r="C91" s="77"/>
      <c r="D91" s="78"/>
      <c r="E91" s="78"/>
      <c r="F91" s="78"/>
      <c r="G91" s="79">
        <f t="shared" si="8"/>
        <v>0</v>
      </c>
      <c r="H91" s="77"/>
      <c r="I91" s="77"/>
      <c r="J91" s="80">
        <v>1</v>
      </c>
      <c r="K91" s="79">
        <f t="shared" si="9"/>
        <v>0</v>
      </c>
      <c r="L91" s="87"/>
      <c r="M91" s="68"/>
      <c r="N91" s="69">
        <f t="shared" si="10"/>
        <v>0</v>
      </c>
      <c r="O91" s="70"/>
      <c r="P91" s="88">
        <f t="shared" si="7"/>
        <v>0</v>
      </c>
    </row>
    <row r="92" spans="1:16" x14ac:dyDescent="0.25">
      <c r="A92" s="77"/>
      <c r="B92" s="77"/>
      <c r="C92" s="77"/>
      <c r="D92" s="78"/>
      <c r="E92" s="78"/>
      <c r="F92" s="78"/>
      <c r="G92" s="79">
        <f t="shared" si="8"/>
        <v>0</v>
      </c>
      <c r="H92" s="77"/>
      <c r="I92" s="77"/>
      <c r="J92" s="80">
        <v>1</v>
      </c>
      <c r="K92" s="79">
        <f t="shared" si="9"/>
        <v>0</v>
      </c>
      <c r="L92" s="87"/>
      <c r="M92" s="68"/>
      <c r="N92" s="69">
        <f t="shared" si="10"/>
        <v>0</v>
      </c>
      <c r="O92" s="70"/>
      <c r="P92" s="88">
        <f t="shared" si="7"/>
        <v>0</v>
      </c>
    </row>
    <row r="93" spans="1:16" x14ac:dyDescent="0.25">
      <c r="A93" s="77"/>
      <c r="B93" s="77"/>
      <c r="C93" s="77"/>
      <c r="D93" s="78"/>
      <c r="E93" s="78"/>
      <c r="F93" s="78"/>
      <c r="G93" s="79">
        <f t="shared" si="8"/>
        <v>0</v>
      </c>
      <c r="H93" s="77"/>
      <c r="I93" s="77"/>
      <c r="J93" s="80">
        <v>1</v>
      </c>
      <c r="K93" s="79">
        <f t="shared" si="9"/>
        <v>0</v>
      </c>
      <c r="L93" s="87"/>
      <c r="M93" s="68"/>
      <c r="N93" s="69">
        <f t="shared" si="10"/>
        <v>0</v>
      </c>
      <c r="O93" s="70"/>
      <c r="P93" s="88">
        <f t="shared" si="7"/>
        <v>0</v>
      </c>
    </row>
    <row r="94" spans="1:16" x14ac:dyDescent="0.25">
      <c r="A94" s="77"/>
      <c r="B94" s="77"/>
      <c r="C94" s="77"/>
      <c r="D94" s="78"/>
      <c r="E94" s="78"/>
      <c r="F94" s="78"/>
      <c r="G94" s="79">
        <f t="shared" si="8"/>
        <v>0</v>
      </c>
      <c r="H94" s="77"/>
      <c r="I94" s="77"/>
      <c r="J94" s="80">
        <v>1</v>
      </c>
      <c r="K94" s="79">
        <f t="shared" si="9"/>
        <v>0</v>
      </c>
      <c r="L94" s="87"/>
      <c r="M94" s="68"/>
      <c r="N94" s="69">
        <f t="shared" si="10"/>
        <v>0</v>
      </c>
      <c r="O94" s="70"/>
      <c r="P94" s="88">
        <f t="shared" si="7"/>
        <v>0</v>
      </c>
    </row>
    <row r="95" spans="1:16" x14ac:dyDescent="0.25">
      <c r="A95" s="77"/>
      <c r="B95" s="77"/>
      <c r="C95" s="77"/>
      <c r="D95" s="78"/>
      <c r="E95" s="78"/>
      <c r="F95" s="78"/>
      <c r="G95" s="79">
        <f t="shared" si="8"/>
        <v>0</v>
      </c>
      <c r="H95" s="77"/>
      <c r="I95" s="77"/>
      <c r="J95" s="80">
        <v>1</v>
      </c>
      <c r="K95" s="79">
        <f t="shared" si="9"/>
        <v>0</v>
      </c>
      <c r="L95" s="87"/>
      <c r="M95" s="68"/>
      <c r="N95" s="69">
        <f t="shared" si="10"/>
        <v>0</v>
      </c>
      <c r="O95" s="70"/>
      <c r="P95" s="88">
        <f t="shared" si="7"/>
        <v>0</v>
      </c>
    </row>
    <row r="96" spans="1:16" x14ac:dyDescent="0.25">
      <c r="A96" s="77"/>
      <c r="B96" s="77"/>
      <c r="C96" s="77"/>
      <c r="D96" s="78"/>
      <c r="E96" s="78"/>
      <c r="F96" s="78"/>
      <c r="G96" s="79">
        <f t="shared" si="8"/>
        <v>0</v>
      </c>
      <c r="H96" s="77"/>
      <c r="I96" s="77"/>
      <c r="J96" s="80">
        <v>1</v>
      </c>
      <c r="K96" s="79">
        <f t="shared" si="9"/>
        <v>0</v>
      </c>
      <c r="L96" s="87"/>
      <c r="M96" s="68"/>
      <c r="N96" s="69">
        <f t="shared" si="10"/>
        <v>0</v>
      </c>
      <c r="O96" s="70"/>
      <c r="P96" s="88">
        <f t="shared" si="7"/>
        <v>0</v>
      </c>
    </row>
    <row r="97" spans="1:16" x14ac:dyDescent="0.25">
      <c r="A97" s="77"/>
      <c r="B97" s="77"/>
      <c r="C97" s="77"/>
      <c r="D97" s="78"/>
      <c r="E97" s="78"/>
      <c r="F97" s="78"/>
      <c r="G97" s="79">
        <f t="shared" si="8"/>
        <v>0</v>
      </c>
      <c r="H97" s="77"/>
      <c r="I97" s="77"/>
      <c r="J97" s="80">
        <v>1</v>
      </c>
      <c r="K97" s="79">
        <f t="shared" si="9"/>
        <v>0</v>
      </c>
      <c r="L97" s="87"/>
      <c r="M97" s="68"/>
      <c r="N97" s="69">
        <f t="shared" si="10"/>
        <v>0</v>
      </c>
      <c r="O97" s="70"/>
      <c r="P97" s="88">
        <f t="shared" si="7"/>
        <v>0</v>
      </c>
    </row>
    <row r="98" spans="1:16" x14ac:dyDescent="0.25">
      <c r="A98" s="74" t="str">
        <f>A$40</f>
        <v>© Ympäristöministeriö, PILP-laskin 2018 (versio maaliskuu 2017)</v>
      </c>
      <c r="B98" s="89"/>
      <c r="C98" s="89"/>
      <c r="D98" s="89"/>
      <c r="E98" s="90"/>
      <c r="F98" s="90"/>
      <c r="G98" s="91"/>
      <c r="H98" s="92"/>
      <c r="I98" s="92"/>
      <c r="J98" s="92"/>
      <c r="K98" s="93"/>
      <c r="L98" s="94"/>
      <c r="N98" s="95"/>
      <c r="O98" s="70"/>
      <c r="P98" s="88"/>
    </row>
    <row r="99" spans="1:16" x14ac:dyDescent="0.25">
      <c r="A99" s="89"/>
      <c r="B99" s="89"/>
      <c r="C99" s="89"/>
      <c r="D99" s="89"/>
      <c r="E99" s="90"/>
      <c r="F99" s="90"/>
      <c r="G99" s="91"/>
      <c r="H99" s="92"/>
      <c r="I99" s="92"/>
      <c r="J99" s="92"/>
      <c r="K99" s="93"/>
      <c r="L99" s="94"/>
      <c r="N99" s="95"/>
      <c r="O99" s="70"/>
      <c r="P99" s="88"/>
    </row>
    <row r="100" spans="1:16" x14ac:dyDescent="0.25">
      <c r="A100" s="89"/>
      <c r="B100" s="89"/>
      <c r="C100" s="89"/>
      <c r="D100" s="89"/>
      <c r="E100" s="90"/>
      <c r="F100" s="90"/>
      <c r="G100" s="91"/>
      <c r="H100" s="92"/>
      <c r="I100" s="92"/>
      <c r="J100" s="92"/>
      <c r="K100" s="233" t="s">
        <v>175</v>
      </c>
      <c r="L100" s="94"/>
      <c r="N100" s="95"/>
      <c r="O100" s="70"/>
      <c r="P100" s="88"/>
    </row>
    <row r="101" spans="1:16" ht="13" x14ac:dyDescent="0.3">
      <c r="A101" s="89"/>
      <c r="B101" s="89"/>
      <c r="C101" s="89"/>
      <c r="D101" s="89"/>
      <c r="E101" s="90"/>
      <c r="F101" s="90"/>
      <c r="G101" s="91"/>
      <c r="H101" s="92"/>
      <c r="I101" s="92"/>
      <c r="J101" s="92"/>
      <c r="K101" s="234"/>
      <c r="L101" s="24"/>
      <c r="N101" s="95"/>
      <c r="O101" s="70"/>
      <c r="P101" s="88"/>
    </row>
    <row r="102" spans="1:16" ht="33.75" customHeight="1" x14ac:dyDescent="0.25">
      <c r="K102" s="75" t="s">
        <v>176</v>
      </c>
      <c r="M102" s="38" t="s">
        <v>57</v>
      </c>
      <c r="N102" s="38" t="s">
        <v>61</v>
      </c>
    </row>
    <row r="103" spans="1:16" ht="15.5" x14ac:dyDescent="0.35">
      <c r="A103" s="39" t="s">
        <v>23</v>
      </c>
      <c r="B103" s="39"/>
      <c r="C103" s="40"/>
      <c r="D103" s="40"/>
      <c r="E103" s="40"/>
      <c r="F103" s="40"/>
      <c r="G103" s="40"/>
      <c r="H103" s="40"/>
      <c r="I103" s="40"/>
      <c r="J103" s="40"/>
      <c r="K103" s="41"/>
      <c r="M103" s="76">
        <f>N103/8760/(K103+1E-50)</f>
        <v>0</v>
      </c>
      <c r="N103" s="44">
        <f>SUM(N107:N121)</f>
        <v>0</v>
      </c>
    </row>
    <row r="104" spans="1:16" ht="13" x14ac:dyDescent="0.3">
      <c r="A104" s="214" t="s">
        <v>16</v>
      </c>
      <c r="B104" s="215"/>
      <c r="C104" s="45" t="s">
        <v>0</v>
      </c>
      <c r="D104" s="46" t="s">
        <v>1</v>
      </c>
      <c r="E104" s="46" t="s">
        <v>1</v>
      </c>
      <c r="F104" s="46" t="s">
        <v>2</v>
      </c>
      <c r="G104" s="46" t="s">
        <v>3</v>
      </c>
      <c r="H104" s="216" t="s">
        <v>4</v>
      </c>
      <c r="I104" s="217"/>
      <c r="J104" s="47"/>
      <c r="K104" s="46" t="s">
        <v>56</v>
      </c>
      <c r="M104" s="50" t="s">
        <v>55</v>
      </c>
      <c r="N104" s="50" t="s">
        <v>55</v>
      </c>
    </row>
    <row r="105" spans="1:16" ht="12.75" customHeight="1" x14ac:dyDescent="0.4">
      <c r="A105" s="235" t="s">
        <v>36</v>
      </c>
      <c r="B105" s="236"/>
      <c r="C105" s="51"/>
      <c r="D105" s="52" t="s">
        <v>358</v>
      </c>
      <c r="E105" s="52" t="s">
        <v>6</v>
      </c>
      <c r="F105" s="52" t="s">
        <v>7</v>
      </c>
      <c r="G105" s="52" t="s">
        <v>8</v>
      </c>
      <c r="H105" s="53" t="s">
        <v>63</v>
      </c>
      <c r="I105" s="54" t="s">
        <v>64</v>
      </c>
      <c r="J105" s="47"/>
      <c r="K105" s="52" t="s">
        <v>9</v>
      </c>
      <c r="M105" s="50" t="s">
        <v>58</v>
      </c>
      <c r="N105" s="50" t="s">
        <v>60</v>
      </c>
    </row>
    <row r="106" spans="1:16" x14ac:dyDescent="0.25">
      <c r="A106" s="57" t="s">
        <v>17</v>
      </c>
      <c r="B106" s="57" t="s">
        <v>18</v>
      </c>
      <c r="C106" s="51"/>
      <c r="D106" s="52" t="s">
        <v>10</v>
      </c>
      <c r="E106" s="52" t="s">
        <v>10</v>
      </c>
      <c r="F106" s="52" t="s">
        <v>11</v>
      </c>
      <c r="G106" s="52" t="s">
        <v>12</v>
      </c>
      <c r="H106" s="59" t="s">
        <v>13</v>
      </c>
      <c r="I106" s="48" t="s">
        <v>14</v>
      </c>
      <c r="J106" s="46"/>
      <c r="K106" s="52" t="s">
        <v>12</v>
      </c>
      <c r="M106" s="50" t="s">
        <v>59</v>
      </c>
      <c r="N106" s="50" t="s">
        <v>25</v>
      </c>
    </row>
    <row r="107" spans="1:16" x14ac:dyDescent="0.25">
      <c r="A107" s="77"/>
      <c r="B107" s="77"/>
      <c r="C107" s="77"/>
      <c r="D107" s="77"/>
      <c r="E107" s="77"/>
      <c r="F107" s="77"/>
      <c r="G107" s="79">
        <f>F107*E107</f>
        <v>0</v>
      </c>
      <c r="H107" s="77"/>
      <c r="I107" s="77"/>
      <c r="J107" s="80">
        <v>1</v>
      </c>
      <c r="K107" s="79">
        <f>G107*H107/24*I107/7*J107</f>
        <v>0</v>
      </c>
      <c r="M107" s="81"/>
      <c r="N107" s="69">
        <f>M107*K107*8760</f>
        <v>0</v>
      </c>
      <c r="O107" s="70"/>
      <c r="P107" s="73"/>
    </row>
    <row r="108" spans="1:16" x14ac:dyDescent="0.25">
      <c r="A108" s="77"/>
      <c r="B108" s="77"/>
      <c r="C108" s="77"/>
      <c r="D108" s="77"/>
      <c r="E108" s="77"/>
      <c r="F108" s="77"/>
      <c r="G108" s="79">
        <f>F108*E108</f>
        <v>0</v>
      </c>
      <c r="H108" s="77"/>
      <c r="I108" s="77"/>
      <c r="J108" s="80">
        <v>1</v>
      </c>
      <c r="K108" s="79">
        <f>G108*H108/24*I108/7*J108</f>
        <v>0</v>
      </c>
      <c r="M108" s="81"/>
      <c r="N108" s="69">
        <f t="shared" ref="N108:N121" si="11">M108*K108*8760</f>
        <v>0</v>
      </c>
      <c r="O108" s="70"/>
      <c r="P108" s="73"/>
    </row>
    <row r="109" spans="1:16" x14ac:dyDescent="0.25">
      <c r="A109" s="77"/>
      <c r="B109" s="77"/>
      <c r="C109" s="77"/>
      <c r="D109" s="77"/>
      <c r="E109" s="77"/>
      <c r="F109" s="77"/>
      <c r="G109" s="79">
        <f>F109*E109</f>
        <v>0</v>
      </c>
      <c r="H109" s="77"/>
      <c r="I109" s="77"/>
      <c r="J109" s="80">
        <v>1</v>
      </c>
      <c r="K109" s="79">
        <f>G109*H109/24*I109/7*J109</f>
        <v>0</v>
      </c>
      <c r="M109" s="81"/>
      <c r="N109" s="69">
        <f t="shared" si="11"/>
        <v>0</v>
      </c>
      <c r="O109" s="70"/>
      <c r="P109" s="73"/>
    </row>
    <row r="110" spans="1:16" x14ac:dyDescent="0.25">
      <c r="A110" s="77"/>
      <c r="B110" s="77"/>
      <c r="C110" s="77"/>
      <c r="D110" s="77"/>
      <c r="E110" s="77"/>
      <c r="F110" s="77"/>
      <c r="G110" s="79">
        <f>F110*E110</f>
        <v>0</v>
      </c>
      <c r="H110" s="77"/>
      <c r="I110" s="77"/>
      <c r="J110" s="80">
        <v>1</v>
      </c>
      <c r="K110" s="79">
        <f>G110*H110/24*I110/7*J110</f>
        <v>0</v>
      </c>
      <c r="M110" s="81"/>
      <c r="N110" s="69">
        <f t="shared" si="11"/>
        <v>0</v>
      </c>
      <c r="O110" s="70"/>
      <c r="P110" s="73"/>
    </row>
    <row r="111" spans="1:16" x14ac:dyDescent="0.25">
      <c r="A111" s="77"/>
      <c r="B111" s="77"/>
      <c r="C111" s="77"/>
      <c r="D111" s="77"/>
      <c r="E111" s="77"/>
      <c r="F111" s="77"/>
      <c r="G111" s="79">
        <f>F111*E111</f>
        <v>0</v>
      </c>
      <c r="H111" s="77"/>
      <c r="I111" s="77"/>
      <c r="J111" s="80">
        <v>1</v>
      </c>
      <c r="K111" s="79">
        <f>G111*H111/24*I111/7*J111</f>
        <v>0</v>
      </c>
      <c r="M111" s="81"/>
      <c r="N111" s="69">
        <f t="shared" si="11"/>
        <v>0</v>
      </c>
      <c r="O111" s="70"/>
      <c r="P111" s="73"/>
    </row>
    <row r="112" spans="1:16" x14ac:dyDescent="0.25">
      <c r="A112" s="77"/>
      <c r="B112" s="77"/>
      <c r="C112" s="77"/>
      <c r="D112" s="77"/>
      <c r="E112" s="77"/>
      <c r="F112" s="77"/>
      <c r="G112" s="79">
        <f t="shared" ref="G112:G121" si="12">F112*E112</f>
        <v>0</v>
      </c>
      <c r="H112" s="77"/>
      <c r="I112" s="77"/>
      <c r="J112" s="80">
        <v>1</v>
      </c>
      <c r="K112" s="79">
        <f t="shared" ref="K112:K121" si="13">G112*H112/24*I112/7*J112</f>
        <v>0</v>
      </c>
      <c r="M112" s="81"/>
      <c r="N112" s="69">
        <f t="shared" si="11"/>
        <v>0</v>
      </c>
      <c r="O112" s="70"/>
      <c r="P112" s="73"/>
    </row>
    <row r="113" spans="1:16" x14ac:dyDescent="0.25">
      <c r="A113" s="77"/>
      <c r="B113" s="77"/>
      <c r="C113" s="77"/>
      <c r="D113" s="77"/>
      <c r="E113" s="77"/>
      <c r="F113" s="77"/>
      <c r="G113" s="79">
        <f t="shared" si="12"/>
        <v>0</v>
      </c>
      <c r="H113" s="77"/>
      <c r="I113" s="77"/>
      <c r="J113" s="80">
        <v>1</v>
      </c>
      <c r="K113" s="79">
        <f t="shared" si="13"/>
        <v>0</v>
      </c>
      <c r="M113" s="81"/>
      <c r="N113" s="69">
        <f t="shared" si="11"/>
        <v>0</v>
      </c>
      <c r="O113" s="70"/>
      <c r="P113" s="73"/>
    </row>
    <row r="114" spans="1:16" x14ac:dyDescent="0.25">
      <c r="A114" s="77"/>
      <c r="B114" s="77"/>
      <c r="C114" s="77"/>
      <c r="D114" s="77"/>
      <c r="E114" s="77"/>
      <c r="F114" s="77"/>
      <c r="G114" s="79">
        <f t="shared" si="12"/>
        <v>0</v>
      </c>
      <c r="H114" s="77"/>
      <c r="I114" s="77"/>
      <c r="J114" s="80">
        <v>1</v>
      </c>
      <c r="K114" s="79">
        <f t="shared" si="13"/>
        <v>0</v>
      </c>
      <c r="M114" s="81"/>
      <c r="N114" s="69">
        <f t="shared" si="11"/>
        <v>0</v>
      </c>
      <c r="O114" s="70"/>
      <c r="P114" s="73"/>
    </row>
    <row r="115" spans="1:16" x14ac:dyDescent="0.25">
      <c r="A115" s="77"/>
      <c r="B115" s="77"/>
      <c r="C115" s="77"/>
      <c r="D115" s="77"/>
      <c r="E115" s="77"/>
      <c r="F115" s="77"/>
      <c r="G115" s="79">
        <f t="shared" si="12"/>
        <v>0</v>
      </c>
      <c r="H115" s="77"/>
      <c r="I115" s="77"/>
      <c r="J115" s="80">
        <v>1</v>
      </c>
      <c r="K115" s="79">
        <f t="shared" si="13"/>
        <v>0</v>
      </c>
      <c r="M115" s="81"/>
      <c r="N115" s="69">
        <f t="shared" si="11"/>
        <v>0</v>
      </c>
      <c r="O115" s="70"/>
      <c r="P115" s="73"/>
    </row>
    <row r="116" spans="1:16" x14ac:dyDescent="0.25">
      <c r="A116" s="77"/>
      <c r="B116" s="77"/>
      <c r="C116" s="77"/>
      <c r="D116" s="77"/>
      <c r="E116" s="77"/>
      <c r="F116" s="77"/>
      <c r="G116" s="79">
        <f t="shared" si="12"/>
        <v>0</v>
      </c>
      <c r="H116" s="77"/>
      <c r="I116" s="77"/>
      <c r="J116" s="80">
        <v>1</v>
      </c>
      <c r="K116" s="79">
        <f t="shared" si="13"/>
        <v>0</v>
      </c>
      <c r="M116" s="81"/>
      <c r="N116" s="69">
        <f t="shared" si="11"/>
        <v>0</v>
      </c>
      <c r="O116" s="70"/>
      <c r="P116" s="73"/>
    </row>
    <row r="117" spans="1:16" x14ac:dyDescent="0.25">
      <c r="A117" s="77"/>
      <c r="B117" s="77"/>
      <c r="C117" s="77"/>
      <c r="D117" s="77"/>
      <c r="E117" s="77"/>
      <c r="F117" s="77"/>
      <c r="G117" s="79">
        <f t="shared" si="12"/>
        <v>0</v>
      </c>
      <c r="H117" s="77"/>
      <c r="I117" s="77"/>
      <c r="J117" s="80">
        <v>1</v>
      </c>
      <c r="K117" s="79">
        <f t="shared" si="13"/>
        <v>0</v>
      </c>
      <c r="M117" s="81"/>
      <c r="N117" s="69">
        <f t="shared" si="11"/>
        <v>0</v>
      </c>
      <c r="O117" s="70"/>
      <c r="P117" s="73"/>
    </row>
    <row r="118" spans="1:16" x14ac:dyDescent="0.25">
      <c r="A118" s="77"/>
      <c r="B118" s="77"/>
      <c r="C118" s="77"/>
      <c r="D118" s="77"/>
      <c r="E118" s="77"/>
      <c r="F118" s="77"/>
      <c r="G118" s="79">
        <f t="shared" si="12"/>
        <v>0</v>
      </c>
      <c r="H118" s="77"/>
      <c r="I118" s="77"/>
      <c r="J118" s="80">
        <v>1</v>
      </c>
      <c r="K118" s="79">
        <f t="shared" si="13"/>
        <v>0</v>
      </c>
      <c r="M118" s="81"/>
      <c r="N118" s="69">
        <f t="shared" si="11"/>
        <v>0</v>
      </c>
      <c r="O118" s="70"/>
      <c r="P118" s="73"/>
    </row>
    <row r="119" spans="1:16" x14ac:dyDescent="0.25">
      <c r="A119" s="77"/>
      <c r="B119" s="77"/>
      <c r="C119" s="77"/>
      <c r="D119" s="77"/>
      <c r="E119" s="77"/>
      <c r="F119" s="77"/>
      <c r="G119" s="79">
        <f t="shared" si="12"/>
        <v>0</v>
      </c>
      <c r="H119" s="77"/>
      <c r="I119" s="77"/>
      <c r="J119" s="80">
        <v>1</v>
      </c>
      <c r="K119" s="79">
        <f t="shared" si="13"/>
        <v>0</v>
      </c>
      <c r="M119" s="81"/>
      <c r="N119" s="69">
        <f t="shared" si="11"/>
        <v>0</v>
      </c>
      <c r="O119" s="70"/>
      <c r="P119" s="73"/>
    </row>
    <row r="120" spans="1:16" ht="13" x14ac:dyDescent="0.3">
      <c r="A120" s="77"/>
      <c r="B120" s="77"/>
      <c r="C120" s="77"/>
      <c r="D120" s="77"/>
      <c r="E120" s="77"/>
      <c r="F120" s="77"/>
      <c r="G120" s="79">
        <f t="shared" si="12"/>
        <v>0</v>
      </c>
      <c r="H120" s="77"/>
      <c r="I120" s="77"/>
      <c r="J120" s="80">
        <v>1</v>
      </c>
      <c r="K120" s="79">
        <f t="shared" si="13"/>
        <v>0</v>
      </c>
      <c r="M120" s="81"/>
      <c r="N120" s="69">
        <f t="shared" si="11"/>
        <v>0</v>
      </c>
      <c r="O120" s="82"/>
      <c r="P120" s="96"/>
    </row>
    <row r="121" spans="1:16" x14ac:dyDescent="0.25">
      <c r="A121" s="77"/>
      <c r="B121" s="77"/>
      <c r="C121" s="77"/>
      <c r="D121" s="77"/>
      <c r="E121" s="77"/>
      <c r="F121" s="77"/>
      <c r="G121" s="79">
        <f t="shared" si="12"/>
        <v>0</v>
      </c>
      <c r="H121" s="77"/>
      <c r="I121" s="77"/>
      <c r="J121" s="80">
        <v>1</v>
      </c>
      <c r="K121" s="79">
        <f t="shared" si="13"/>
        <v>0</v>
      </c>
      <c r="M121" s="81"/>
      <c r="N121" s="69">
        <f t="shared" si="11"/>
        <v>0</v>
      </c>
      <c r="P121" s="97"/>
    </row>
    <row r="122" spans="1:16" ht="13" x14ac:dyDescent="0.3">
      <c r="A122" s="74" t="str">
        <f>A$40</f>
        <v>© Ympäristöministeriö, PILP-laskin 2018 (versio maaliskuu 2017)</v>
      </c>
      <c r="K122" s="84"/>
      <c r="P122" s="97"/>
    </row>
  </sheetData>
  <sheetProtection password="94B5" sheet="1" objects="1" scenarios="1" selectLockedCells="1"/>
  <mergeCells count="22">
    <mergeCell ref="A104:B104"/>
    <mergeCell ref="H104:I104"/>
    <mergeCell ref="A105:B105"/>
    <mergeCell ref="A47:B47"/>
    <mergeCell ref="L66:L67"/>
    <mergeCell ref="A70:B70"/>
    <mergeCell ref="H70:I70"/>
    <mergeCell ref="A71:B71"/>
    <mergeCell ref="K100:K101"/>
    <mergeCell ref="A46:B46"/>
    <mergeCell ref="H46:I46"/>
    <mergeCell ref="H1:L1"/>
    <mergeCell ref="H2:L2"/>
    <mergeCell ref="H3:L3"/>
    <mergeCell ref="H4:L4"/>
    <mergeCell ref="H5:L5"/>
    <mergeCell ref="H6:L6"/>
    <mergeCell ref="L8:L9"/>
    <mergeCell ref="A12:B12"/>
    <mergeCell ref="H12:I12"/>
    <mergeCell ref="A13:B13"/>
    <mergeCell ref="K42:K43"/>
  </mergeCells>
  <pageMargins left="0.51181102362204722" right="0.19685039370078741" top="1.0629921259842521" bottom="0.43307086614173229" header="0.51181102362204722" footer="0.27559055118110237"/>
  <pageSetup paperSize="9" scale="85" fitToHeight="4" orientation="landscape" r:id="rId1"/>
  <headerFooter alignWithMargins="0">
    <oddHeader>&amp;CKoko rakennuksen ilmanvaihdon lämmöntalteenoton vuosihyötysuhteen laskenta 
lämpöhäviöiden tasauslaskentaa varten.</oddHeader>
    <oddFooter>&amp;C&amp;P (&amp;N)</oddFooter>
  </headerFooter>
  <rowBreaks count="3" manualBreakCount="3">
    <brk id="40" max="16383" man="1"/>
    <brk id="64" max="16383" man="1"/>
    <brk id="98" max="16383"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N115"/>
  <sheetViews>
    <sheetView tabSelected="1" zoomScaleNormal="100" workbookViewId="0">
      <selection activeCell="D14" sqref="D14"/>
    </sheetView>
  </sheetViews>
  <sheetFormatPr defaultColWidth="8.81640625" defaultRowHeight="12.5" x14ac:dyDescent="0.25"/>
  <cols>
    <col min="1" max="1" width="18.453125" style="22" customWidth="1"/>
    <col min="2" max="2" width="50.453125" style="22" customWidth="1"/>
    <col min="3" max="3" width="12" style="22" customWidth="1"/>
    <col min="4" max="4" width="12.26953125" style="22" customWidth="1"/>
    <col min="5" max="5" width="12.81640625" style="22" customWidth="1"/>
    <col min="6" max="6" width="8.81640625" style="22"/>
    <col min="7" max="7" width="23" style="22" customWidth="1"/>
    <col min="8" max="8" width="12.54296875" style="22" customWidth="1"/>
    <col min="9" max="16384" width="8.81640625" style="22"/>
  </cols>
  <sheetData>
    <row r="1" spans="1:40" ht="13.5" thickBot="1" x14ac:dyDescent="0.35">
      <c r="A1" s="98" t="s">
        <v>38</v>
      </c>
      <c r="B1" s="239" t="str">
        <f>IF(Ilmanvaihto!H1=0,"",Ilmanvaihto!H1)</f>
        <v>RET-pientalo</v>
      </c>
      <c r="C1" s="240"/>
      <c r="D1" s="240"/>
      <c r="E1" s="241"/>
      <c r="F1" s="18"/>
      <c r="G1" s="21"/>
      <c r="H1" s="21"/>
      <c r="I1" s="21"/>
      <c r="J1" s="21"/>
      <c r="K1" s="21"/>
      <c r="L1" s="21"/>
      <c r="M1" s="21"/>
      <c r="N1" s="21"/>
      <c r="O1" s="21"/>
      <c r="P1" s="21"/>
      <c r="Q1" s="21"/>
      <c r="R1" s="21"/>
      <c r="S1" s="21"/>
      <c r="T1" s="21"/>
      <c r="U1" s="21"/>
      <c r="V1" s="21"/>
      <c r="AB1" s="105">
        <v>24</v>
      </c>
      <c r="AC1" s="106">
        <f>C1</f>
        <v>0</v>
      </c>
      <c r="AD1" s="21"/>
      <c r="AE1" s="7"/>
      <c r="AF1" s="8"/>
      <c r="AG1" s="107"/>
      <c r="AH1" s="21"/>
      <c r="AI1" s="107"/>
      <c r="AJ1" s="107"/>
      <c r="AK1" s="107"/>
      <c r="AL1" s="107"/>
      <c r="AM1" s="107"/>
      <c r="AN1" s="107"/>
    </row>
    <row r="2" spans="1:40" ht="13.5" thickBot="1" x14ac:dyDescent="0.3">
      <c r="A2" s="108" t="s">
        <v>39</v>
      </c>
      <c r="B2" s="242" t="str">
        <f>IF(Ilmanvaihto!H2=0,"",Ilmanvaihto!H2)</f>
        <v>Esimerkki</v>
      </c>
      <c r="C2" s="243"/>
      <c r="D2" s="243"/>
      <c r="E2" s="244"/>
      <c r="F2" s="109"/>
      <c r="G2" s="21"/>
      <c r="H2" s="21"/>
      <c r="I2" s="21"/>
      <c r="J2" s="21"/>
      <c r="K2" s="21"/>
      <c r="L2" s="21"/>
      <c r="M2" s="21"/>
      <c r="N2" s="21"/>
      <c r="O2" s="21"/>
      <c r="P2" s="21"/>
      <c r="Q2" s="21"/>
      <c r="R2" s="21"/>
      <c r="S2" s="21"/>
      <c r="T2" s="21"/>
      <c r="U2" s="21"/>
      <c r="V2" s="21"/>
      <c r="AB2" s="107"/>
      <c r="AC2" s="107"/>
      <c r="AD2" s="110">
        <f ca="1">INDIRECT("i"&amp;$AB$1)</f>
        <v>0.60000000000000009</v>
      </c>
      <c r="AE2" s="107"/>
      <c r="AF2" s="111">
        <f ca="1">INDIRECT("k"&amp;$AB$1)</f>
        <v>0</v>
      </c>
      <c r="AG2" s="107"/>
      <c r="AH2" s="112" t="s">
        <v>123</v>
      </c>
      <c r="AI2" s="107"/>
      <c r="AJ2" s="111">
        <f ca="1">INDIRECT("U"&amp;$AB$1)</f>
        <v>0</v>
      </c>
      <c r="AK2" s="107"/>
      <c r="AL2" s="111">
        <f ca="1">INDIRECT("S"&amp;$AB$1)</f>
        <v>0</v>
      </c>
      <c r="AM2" s="107"/>
      <c r="AN2" s="107"/>
    </row>
    <row r="3" spans="1:40" ht="13.5" customHeight="1" thickBot="1" x14ac:dyDescent="0.3">
      <c r="A3" s="98" t="s">
        <v>40</v>
      </c>
      <c r="B3" s="239" t="str">
        <f>IF(Ilmanvaihto!H3=0,"",Ilmanvaihto!H3)</f>
        <v>1-kerroksinen pientalo, ikkunapinta-ala 15 % kerrostasoalasta.</v>
      </c>
      <c r="C3" s="240"/>
      <c r="D3" s="240"/>
      <c r="E3" s="241"/>
      <c r="F3" s="18"/>
      <c r="G3" s="21"/>
      <c r="H3" s="21"/>
      <c r="I3" s="21"/>
      <c r="J3" s="21"/>
      <c r="K3" s="21"/>
      <c r="L3" s="21"/>
      <c r="M3" s="21"/>
      <c r="N3" s="21"/>
      <c r="O3" s="21"/>
      <c r="P3" s="21"/>
      <c r="Q3" s="21"/>
      <c r="R3" s="21"/>
      <c r="S3" s="21"/>
      <c r="T3" s="21"/>
      <c r="U3" s="21"/>
      <c r="V3" s="21"/>
      <c r="AB3" s="107"/>
      <c r="AC3" s="9">
        <f ca="1">INDIRECT("A"&amp;$AB$1)</f>
        <v>0</v>
      </c>
      <c r="AD3" s="107"/>
      <c r="AE3" s="113">
        <f ca="1">INDIRECT("j"&amp;$AB$1)</f>
        <v>0</v>
      </c>
      <c r="AF3" s="237" t="s">
        <v>124</v>
      </c>
      <c r="AG3" s="113">
        <f ca="1">INDIRECT("L"&amp;$AB$1)</f>
        <v>0</v>
      </c>
      <c r="AH3" s="114">
        <f ca="1">INDIRECT("H"&amp;$AB$1)</f>
        <v>0</v>
      </c>
      <c r="AI3" s="113">
        <f ca="1">INDIRECT("V"&amp;$AB$1)</f>
        <v>0</v>
      </c>
      <c r="AJ3" s="237" t="s">
        <v>91</v>
      </c>
      <c r="AK3" s="113">
        <f ca="1">INDIRECT("T"&amp;$AB$1)</f>
        <v>0</v>
      </c>
      <c r="AL3" s="107"/>
      <c r="AM3" s="10">
        <f ca="1">INDIRECT("R"&amp;$AB$1)</f>
        <v>0</v>
      </c>
      <c r="AN3" s="107"/>
    </row>
    <row r="4" spans="1:40" ht="13.5" customHeight="1" thickBot="1" x14ac:dyDescent="0.3">
      <c r="A4" s="98" t="s">
        <v>41</v>
      </c>
      <c r="B4" s="239" t="str">
        <f>IF(Ilmanvaihto!H4=0,"",Ilmanvaihto!H4)</f>
        <v>Nibbe Niilanen</v>
      </c>
      <c r="C4" s="240"/>
      <c r="D4" s="240"/>
      <c r="E4" s="241"/>
      <c r="F4" s="18"/>
      <c r="G4" s="21"/>
      <c r="H4" s="21"/>
      <c r="I4" s="21"/>
      <c r="J4" s="21"/>
      <c r="K4" s="21"/>
      <c r="L4" s="21"/>
      <c r="M4" s="21"/>
      <c r="N4" s="21"/>
      <c r="O4" s="21"/>
      <c r="P4" s="21"/>
      <c r="Q4" s="21"/>
      <c r="R4" s="21"/>
      <c r="S4" s="21"/>
      <c r="T4" s="21"/>
      <c r="U4" s="21"/>
      <c r="V4" s="21"/>
      <c r="AB4" s="107"/>
      <c r="AC4" s="115">
        <f ca="1">INDIRECT("E"&amp;$AB$1)</f>
        <v>0</v>
      </c>
      <c r="AD4" s="107"/>
      <c r="AE4" s="107"/>
      <c r="AF4" s="238"/>
      <c r="AG4" s="107"/>
      <c r="AH4" s="116">
        <f ca="1">INDIRECT("ac"&amp;$AB$1)</f>
        <v>0</v>
      </c>
      <c r="AI4" s="107"/>
      <c r="AJ4" s="238"/>
      <c r="AK4" s="107"/>
      <c r="AL4" s="107"/>
      <c r="AM4" s="115">
        <f ca="1">INDIRECT("F"&amp;$AB$1)</f>
        <v>0</v>
      </c>
      <c r="AN4" s="112" t="s">
        <v>125</v>
      </c>
    </row>
    <row r="5" spans="1:40" x14ac:dyDescent="0.25">
      <c r="A5" s="98" t="s">
        <v>43</v>
      </c>
      <c r="B5" s="239" t="str">
        <f>IF(Ilmanvaihto!H5=0,"",Ilmanvaihto!H5)</f>
        <v>Lemmi Pumppu</v>
      </c>
      <c r="C5" s="240"/>
      <c r="D5" s="240"/>
      <c r="E5" s="241"/>
      <c r="F5" s="18"/>
      <c r="G5" s="21"/>
      <c r="H5" s="21"/>
      <c r="I5" s="21"/>
      <c r="J5" s="21"/>
      <c r="K5" s="21"/>
      <c r="L5" s="21"/>
      <c r="M5" s="21"/>
      <c r="N5" s="21"/>
      <c r="O5" s="21"/>
      <c r="P5" s="21"/>
      <c r="Q5" s="21"/>
      <c r="R5" s="21"/>
      <c r="S5" s="21"/>
      <c r="T5" s="21"/>
      <c r="U5" s="21"/>
      <c r="V5" s="21"/>
      <c r="AB5" s="107"/>
      <c r="AC5" s="107"/>
      <c r="AD5" s="107"/>
      <c r="AE5" s="107"/>
      <c r="AF5" s="107"/>
      <c r="AG5" s="107"/>
      <c r="AH5" s="117"/>
      <c r="AI5" s="107"/>
      <c r="AJ5" s="107"/>
      <c r="AK5" s="107"/>
      <c r="AL5" s="107"/>
      <c r="AM5" s="107"/>
      <c r="AN5" s="118" t="e">
        <f ca="1">AM8/AM4</f>
        <v>#DIV/0!</v>
      </c>
    </row>
    <row r="6" spans="1:40" ht="13" thickBot="1" x14ac:dyDescent="0.3">
      <c r="A6" s="98" t="s">
        <v>42</v>
      </c>
      <c r="B6" s="245">
        <f>IF(Ilmanvaihto!H6=0,"",Ilmanvaihto!H6)</f>
        <v>42825</v>
      </c>
      <c r="C6" s="246"/>
      <c r="D6" s="246"/>
      <c r="E6" s="247"/>
      <c r="F6" s="19"/>
      <c r="G6" s="21"/>
      <c r="H6" s="21"/>
      <c r="I6" s="21"/>
      <c r="J6" s="21"/>
      <c r="K6" s="21"/>
      <c r="L6" s="21"/>
      <c r="M6" s="21"/>
      <c r="N6" s="21"/>
      <c r="O6" s="21"/>
      <c r="P6" s="21"/>
      <c r="Q6" s="21"/>
      <c r="R6" s="21"/>
      <c r="S6" s="21"/>
      <c r="T6" s="21"/>
      <c r="U6" s="21"/>
      <c r="V6" s="21"/>
      <c r="AB6" s="107"/>
      <c r="AC6" s="107"/>
      <c r="AD6" s="110">
        <f ca="1">INDIRECT("X"&amp;$AB$1)</f>
        <v>0</v>
      </c>
      <c r="AE6" s="107"/>
      <c r="AF6" s="111">
        <f ca="1">INDIRECT("U"&amp;$AB$1)</f>
        <v>0</v>
      </c>
      <c r="AG6" s="107"/>
      <c r="AH6" s="117"/>
      <c r="AI6" s="107"/>
      <c r="AJ6" s="119">
        <f ca="1">INDIRECT("N"&amp;$AB$1)</f>
        <v>0</v>
      </c>
      <c r="AK6" s="107"/>
      <c r="AL6" s="111">
        <f ca="1">INDIRECT("P"&amp;$AB$1)</f>
        <v>0</v>
      </c>
      <c r="AM6" s="107"/>
      <c r="AN6" s="107"/>
    </row>
    <row r="7" spans="1:40" ht="13" thickBot="1" x14ac:dyDescent="0.3">
      <c r="G7" s="21"/>
      <c r="H7" s="21"/>
      <c r="I7" s="21"/>
      <c r="J7" s="21"/>
      <c r="K7" s="21"/>
      <c r="L7" s="21"/>
      <c r="M7" s="21"/>
      <c r="N7" s="21"/>
      <c r="O7" s="21"/>
      <c r="P7" s="21"/>
      <c r="Q7" s="21"/>
      <c r="R7" s="21"/>
      <c r="S7" s="21"/>
      <c r="T7" s="21"/>
      <c r="U7" s="21"/>
      <c r="V7" s="21"/>
      <c r="AB7" s="107"/>
      <c r="AC7" s="115">
        <f ca="1">INDIRECT("F"&amp;$AB$1)</f>
        <v>0</v>
      </c>
      <c r="AE7" s="107"/>
      <c r="AF7" s="237" t="s">
        <v>91</v>
      </c>
      <c r="AG7" s="107"/>
      <c r="AH7" s="120" t="s">
        <v>126</v>
      </c>
      <c r="AI7" s="121"/>
      <c r="AJ7" s="107"/>
      <c r="AK7" s="113">
        <f ca="1">INDIRECT("O"&amp;$AB$1)</f>
        <v>0</v>
      </c>
      <c r="AL7" s="237" t="s">
        <v>124</v>
      </c>
      <c r="AM7" s="11">
        <f ca="1">INDIRECT("Q"&amp;$AB$1)</f>
        <v>0</v>
      </c>
      <c r="AN7" s="107"/>
    </row>
    <row r="8" spans="1:40" ht="16.149999999999999" customHeight="1" thickBot="1" x14ac:dyDescent="0.35">
      <c r="B8" s="1" t="s">
        <v>168</v>
      </c>
      <c r="G8" s="21"/>
      <c r="H8" s="21"/>
      <c r="I8" s="21"/>
      <c r="J8" s="21"/>
      <c r="K8" s="21"/>
      <c r="L8" s="21"/>
      <c r="M8" s="21"/>
      <c r="N8" s="21"/>
      <c r="O8" s="21"/>
      <c r="P8" s="21"/>
      <c r="Q8" s="21"/>
      <c r="R8" s="21"/>
      <c r="S8" s="21"/>
      <c r="T8" s="21"/>
      <c r="U8" s="21"/>
      <c r="V8" s="21"/>
      <c r="AB8" s="107"/>
      <c r="AC8" s="12">
        <f ca="1">INDIRECT("Y"&amp;$AB$1)</f>
        <v>0</v>
      </c>
      <c r="AD8" s="107"/>
      <c r="AF8" s="238"/>
      <c r="AG8" s="113">
        <f ca="1">INDIRECT("W"&amp;$AB$1)</f>
        <v>0</v>
      </c>
      <c r="AH8" s="118" t="e">
        <f ca="1">(AI3-AG8)/(AI3-AG3)</f>
        <v>#DIV/0!</v>
      </c>
      <c r="AI8" s="113">
        <f ca="1">INDIRECT("M"&amp;$AB$1)</f>
        <v>0</v>
      </c>
      <c r="AJ8" s="107"/>
      <c r="AK8" s="107"/>
      <c r="AL8" s="238"/>
      <c r="AM8" s="115">
        <f ca="1">INDIRECT("E"&amp;$AB$1)</f>
        <v>0</v>
      </c>
      <c r="AN8" s="107"/>
    </row>
    <row r="9" spans="1:40" ht="17" x14ac:dyDescent="0.45">
      <c r="B9" s="1" t="s">
        <v>155</v>
      </c>
      <c r="G9" s="21"/>
      <c r="H9" s="21"/>
      <c r="I9" s="21"/>
      <c r="J9" s="21"/>
      <c r="K9" s="21"/>
      <c r="L9" s="21"/>
      <c r="M9" s="21"/>
      <c r="N9" s="21"/>
      <c r="O9" s="21"/>
      <c r="P9" s="21"/>
      <c r="Q9" s="21"/>
      <c r="R9" s="21"/>
      <c r="S9" s="21"/>
      <c r="T9" s="21"/>
      <c r="U9" s="21"/>
      <c r="V9" s="21"/>
      <c r="AB9" s="107"/>
      <c r="AC9" s="107"/>
      <c r="AD9" s="107"/>
      <c r="AE9" s="107"/>
      <c r="AF9" s="107"/>
      <c r="AG9" s="107"/>
      <c r="AH9" s="112" t="s">
        <v>127</v>
      </c>
      <c r="AI9" s="113"/>
      <c r="AJ9" s="107"/>
      <c r="AK9" s="107"/>
      <c r="AL9" s="107"/>
      <c r="AM9" s="107"/>
      <c r="AN9" s="107"/>
    </row>
    <row r="10" spans="1:40" ht="16.149999999999999" customHeight="1" x14ac:dyDescent="0.3">
      <c r="B10" s="1" t="s">
        <v>171</v>
      </c>
      <c r="G10" s="21"/>
      <c r="H10" s="21"/>
      <c r="I10" s="21"/>
      <c r="J10" s="21"/>
      <c r="K10" s="21"/>
      <c r="L10" s="21"/>
      <c r="M10" s="21"/>
      <c r="N10" s="21"/>
      <c r="O10" s="21"/>
      <c r="P10" s="21"/>
      <c r="Q10" s="21"/>
      <c r="R10" s="21"/>
      <c r="S10" s="21"/>
      <c r="T10" s="21"/>
      <c r="U10" s="21"/>
      <c r="V10" s="21"/>
      <c r="AB10" s="122">
        <v>24</v>
      </c>
      <c r="AC10" s="113"/>
      <c r="AD10" s="107"/>
      <c r="AF10" s="123"/>
      <c r="AG10" s="124"/>
      <c r="AH10" s="13">
        <f ca="1">INDIRECT("AY"&amp;$AB$1)</f>
        <v>0</v>
      </c>
      <c r="AI10" s="107"/>
      <c r="AJ10" s="107"/>
      <c r="AK10" s="107"/>
      <c r="AL10" s="107"/>
      <c r="AM10" s="9">
        <f ca="1">INDIRECT("A"&amp;$AB$1)</f>
        <v>0</v>
      </c>
      <c r="AN10" s="107"/>
    </row>
    <row r="11" spans="1:40" ht="16.149999999999999" customHeight="1" x14ac:dyDescent="0.3">
      <c r="B11" s="1" t="s">
        <v>170</v>
      </c>
      <c r="D11" s="21"/>
      <c r="E11" s="21"/>
      <c r="F11" s="21"/>
      <c r="G11" s="21"/>
      <c r="H11" s="21"/>
      <c r="I11" s="21"/>
      <c r="J11" s="21"/>
      <c r="K11" s="21"/>
      <c r="L11" s="21"/>
      <c r="M11" s="21"/>
      <c r="N11" s="21"/>
      <c r="O11" s="21"/>
      <c r="P11" s="21"/>
      <c r="Q11" s="21"/>
      <c r="R11" s="21"/>
      <c r="S11" s="21"/>
      <c r="T11" s="21"/>
      <c r="U11" s="21"/>
      <c r="V11" s="21"/>
      <c r="AB11" s="107">
        <v>57</v>
      </c>
      <c r="AC11" s="107"/>
      <c r="AD11" s="107"/>
      <c r="AE11" s="107"/>
      <c r="AF11" s="107"/>
      <c r="AG11" s="107"/>
      <c r="AH11" s="14" t="s">
        <v>128</v>
      </c>
      <c r="AI11" s="107"/>
      <c r="AJ11" s="107"/>
      <c r="AK11" s="107"/>
      <c r="AL11" s="107"/>
      <c r="AM11" s="115">
        <f ca="1">AM4-AM8</f>
        <v>0</v>
      </c>
      <c r="AN11" s="21"/>
    </row>
    <row r="12" spans="1:40" ht="16.149999999999999" customHeight="1" x14ac:dyDescent="0.3">
      <c r="B12" s="1"/>
      <c r="D12" s="17" t="s">
        <v>357</v>
      </c>
      <c r="E12" s="17" t="s">
        <v>66</v>
      </c>
      <c r="F12" s="21"/>
      <c r="G12" s="21"/>
      <c r="H12" s="21"/>
      <c r="I12" s="21"/>
      <c r="J12" s="21"/>
      <c r="K12" s="21"/>
      <c r="L12" s="21"/>
      <c r="M12" s="21"/>
      <c r="N12" s="21"/>
      <c r="O12" s="21"/>
      <c r="P12" s="21"/>
      <c r="Q12" s="21"/>
      <c r="R12" s="21"/>
      <c r="S12" s="21"/>
      <c r="T12" s="21"/>
      <c r="U12" s="21"/>
      <c r="V12" s="21"/>
    </row>
    <row r="13" spans="1:40" ht="16.149999999999999" customHeight="1" x14ac:dyDescent="0.25">
      <c r="A13" s="98" t="s">
        <v>17</v>
      </c>
      <c r="B13" s="98" t="s">
        <v>18</v>
      </c>
      <c r="C13" s="20" t="s">
        <v>0</v>
      </c>
      <c r="D13" s="125" t="s">
        <v>10</v>
      </c>
      <c r="E13" s="125" t="s">
        <v>10</v>
      </c>
      <c r="F13" s="21"/>
      <c r="G13" s="21"/>
      <c r="H13" s="21"/>
      <c r="I13" s="21"/>
      <c r="J13" s="21"/>
      <c r="K13" s="21"/>
      <c r="L13" s="21"/>
      <c r="M13" s="21"/>
      <c r="N13" s="21"/>
      <c r="O13" s="21"/>
      <c r="P13" s="21"/>
      <c r="Q13" s="21"/>
      <c r="R13" s="21"/>
      <c r="S13" s="21"/>
      <c r="T13" s="21"/>
      <c r="U13" s="21"/>
      <c r="V13" s="21"/>
    </row>
    <row r="14" spans="1:40" ht="29.25" customHeight="1" x14ac:dyDescent="0.25">
      <c r="A14" s="2" t="s">
        <v>65</v>
      </c>
      <c r="B14" s="2" t="s">
        <v>46</v>
      </c>
      <c r="C14" s="2" t="s">
        <v>15</v>
      </c>
      <c r="D14" s="149">
        <v>5.2999999999999999E-2</v>
      </c>
      <c r="E14" s="5">
        <v>5.8999999999999997E-2</v>
      </c>
      <c r="F14" s="21"/>
      <c r="G14" s="21"/>
      <c r="H14" s="21"/>
      <c r="I14" s="21"/>
      <c r="J14" s="21"/>
      <c r="K14" s="21"/>
      <c r="L14" s="21"/>
      <c r="M14" s="21"/>
      <c r="N14" s="21"/>
      <c r="O14" s="21"/>
      <c r="P14" s="21"/>
      <c r="Q14" s="21"/>
      <c r="R14" s="21"/>
      <c r="S14" s="21"/>
      <c r="T14" s="21"/>
      <c r="U14" s="21"/>
      <c r="V14" s="21"/>
    </row>
    <row r="15" spans="1:40" ht="13.5" customHeight="1" x14ac:dyDescent="0.25">
      <c r="G15" s="21"/>
      <c r="H15" s="21"/>
      <c r="I15" s="21"/>
      <c r="J15" s="21"/>
      <c r="K15" s="21"/>
      <c r="L15" s="21"/>
      <c r="M15" s="21"/>
      <c r="N15" s="21"/>
      <c r="O15" s="21"/>
      <c r="P15" s="21"/>
      <c r="Q15" s="21"/>
      <c r="R15" s="21"/>
      <c r="S15" s="21"/>
      <c r="T15" s="21"/>
      <c r="U15" s="21"/>
      <c r="V15" s="21"/>
    </row>
    <row r="16" spans="1:40" ht="13.5" customHeight="1" x14ac:dyDescent="0.3">
      <c r="B16" s="147" t="s">
        <v>359</v>
      </c>
      <c r="C16" s="148"/>
      <c r="H16" s="21"/>
      <c r="I16" s="104" t="s">
        <v>209</v>
      </c>
      <c r="J16" s="104"/>
      <c r="K16" s="104"/>
      <c r="L16" s="104"/>
      <c r="M16" s="21"/>
      <c r="N16" s="21"/>
      <c r="O16" s="21"/>
      <c r="P16" s="21"/>
      <c r="Q16" s="21"/>
      <c r="R16" s="21"/>
      <c r="S16" s="21"/>
      <c r="T16" s="21"/>
      <c r="U16" s="21"/>
      <c r="V16" s="21"/>
    </row>
    <row r="17" spans="1:22" ht="13.5" customHeight="1" x14ac:dyDescent="0.3">
      <c r="B17" s="145" t="s">
        <v>352</v>
      </c>
      <c r="C17" s="146">
        <v>1</v>
      </c>
      <c r="G17" s="103"/>
      <c r="H17" s="21"/>
      <c r="I17" s="104"/>
      <c r="J17" s="104"/>
      <c r="K17" s="104"/>
      <c r="L17" s="104"/>
      <c r="M17" s="21"/>
      <c r="N17" s="21"/>
      <c r="O17" s="21"/>
      <c r="P17" s="21"/>
      <c r="Q17" s="21"/>
      <c r="R17" s="21"/>
      <c r="S17" s="21"/>
      <c r="T17" s="21"/>
      <c r="U17" s="21"/>
      <c r="V17" s="21"/>
    </row>
    <row r="18" spans="1:22" ht="13.5" customHeight="1" x14ac:dyDescent="0.25">
      <c r="B18" s="98" t="s">
        <v>69</v>
      </c>
      <c r="C18" s="127">
        <v>147</v>
      </c>
      <c r="D18" s="99" t="s">
        <v>68</v>
      </c>
      <c r="G18" s="21"/>
      <c r="H18" s="21"/>
      <c r="I18" s="104"/>
      <c r="J18" s="104"/>
      <c r="K18" s="104"/>
      <c r="L18" s="104"/>
      <c r="M18" s="21"/>
      <c r="N18" s="21"/>
      <c r="O18" s="21"/>
      <c r="P18" s="21"/>
      <c r="Q18" s="21"/>
      <c r="R18" s="21"/>
      <c r="S18" s="21"/>
      <c r="T18" s="21"/>
      <c r="U18" s="21"/>
      <c r="V18" s="21"/>
    </row>
    <row r="19" spans="1:22" ht="13.5" customHeight="1" x14ac:dyDescent="0.25">
      <c r="B19" s="98" t="s">
        <v>210</v>
      </c>
      <c r="C19" s="126">
        <v>24</v>
      </c>
      <c r="D19" s="99" t="s">
        <v>13</v>
      </c>
      <c r="G19" s="21"/>
      <c r="H19" s="21"/>
      <c r="I19" s="104">
        <f>CHOOSE($C$17,24,24,13,15,24,10,16,24,24)</f>
        <v>24</v>
      </c>
      <c r="J19" s="104"/>
      <c r="K19" s="104"/>
      <c r="L19" s="104"/>
      <c r="M19" s="21"/>
      <c r="N19" s="21"/>
      <c r="O19" s="21"/>
      <c r="P19" s="21"/>
      <c r="Q19" s="21"/>
      <c r="R19" s="21"/>
      <c r="S19" s="21"/>
      <c r="T19" s="21"/>
      <c r="U19" s="21"/>
      <c r="V19" s="21"/>
    </row>
    <row r="20" spans="1:22" ht="13.5" customHeight="1" x14ac:dyDescent="0.25">
      <c r="B20" s="98" t="s">
        <v>212</v>
      </c>
      <c r="C20" s="126">
        <v>7</v>
      </c>
      <c r="D20" s="99" t="s">
        <v>211</v>
      </c>
      <c r="G20" s="21"/>
      <c r="H20" s="21"/>
      <c r="I20" s="104">
        <f>CHOOSE($C$17,7,7,5,6,7,5,7,7,7)</f>
        <v>7</v>
      </c>
      <c r="J20" s="104"/>
      <c r="K20" s="104"/>
      <c r="L20" s="104"/>
      <c r="M20" s="21"/>
      <c r="N20" s="21"/>
      <c r="O20" s="21"/>
      <c r="P20" s="21"/>
      <c r="Q20" s="21"/>
      <c r="R20" s="21"/>
      <c r="S20" s="21"/>
      <c r="T20" s="21"/>
      <c r="U20" s="21"/>
      <c r="V20" s="21"/>
    </row>
    <row r="21" spans="1:22" ht="13.5" customHeight="1" x14ac:dyDescent="0.25">
      <c r="B21" s="98" t="s">
        <v>133</v>
      </c>
      <c r="C21" s="127">
        <v>88.2</v>
      </c>
      <c r="D21" s="99" t="s">
        <v>85</v>
      </c>
      <c r="H21" s="21"/>
      <c r="I21" s="104">
        <f>0.6*C18</f>
        <v>88.2</v>
      </c>
      <c r="J21" s="104"/>
      <c r="K21" s="104"/>
      <c r="L21" s="104"/>
      <c r="M21" s="21"/>
      <c r="N21" s="21"/>
      <c r="O21" s="21"/>
      <c r="P21" s="21"/>
      <c r="Q21" s="21"/>
      <c r="R21" s="21"/>
      <c r="S21" s="21"/>
      <c r="T21" s="21"/>
      <c r="U21" s="21"/>
      <c r="V21" s="21"/>
    </row>
    <row r="22" spans="1:22" ht="13.5" customHeight="1" x14ac:dyDescent="0.25">
      <c r="B22" s="98" t="s">
        <v>162</v>
      </c>
      <c r="C22" s="127">
        <v>0</v>
      </c>
      <c r="D22" s="99" t="s">
        <v>81</v>
      </c>
      <c r="H22" s="21"/>
      <c r="I22" s="104">
        <v>0</v>
      </c>
      <c r="J22" s="104"/>
      <c r="K22" s="104"/>
      <c r="L22" s="104"/>
      <c r="M22" s="21"/>
      <c r="N22" s="21"/>
      <c r="O22" s="21"/>
      <c r="P22" s="21"/>
      <c r="Q22" s="21"/>
      <c r="R22" s="21"/>
      <c r="S22" s="21"/>
      <c r="T22" s="21"/>
      <c r="U22" s="21"/>
      <c r="V22" s="21"/>
    </row>
    <row r="23" spans="1:22" ht="13.5" customHeight="1" x14ac:dyDescent="0.3">
      <c r="B23" s="102" t="s">
        <v>213</v>
      </c>
      <c r="C23" s="150"/>
      <c r="D23" s="99"/>
      <c r="F23" s="21"/>
      <c r="H23" s="21"/>
      <c r="I23" s="104"/>
      <c r="J23" s="104"/>
      <c r="K23" s="104"/>
      <c r="L23" s="104"/>
      <c r="M23" s="21"/>
      <c r="N23" s="21"/>
      <c r="O23" s="21"/>
      <c r="P23" s="21"/>
      <c r="Q23" s="21"/>
      <c r="R23" s="21"/>
      <c r="S23" s="21"/>
      <c r="T23" s="21"/>
      <c r="U23" s="21"/>
      <c r="V23" s="21"/>
    </row>
    <row r="24" spans="1:22" ht="13.5" customHeight="1" x14ac:dyDescent="0.25">
      <c r="B24" s="20" t="s">
        <v>146</v>
      </c>
      <c r="C24" s="127">
        <v>0.60000000000000009</v>
      </c>
      <c r="D24" s="22" t="s">
        <v>67</v>
      </c>
      <c r="F24" s="21"/>
      <c r="H24" s="21"/>
      <c r="I24" s="104">
        <f>CHOOSE($C$17,0.1*6,0.1*9,0.65*10,19,0.3*11,0.6*14,0.5*10,0.6*7,0.1*9)</f>
        <v>0.60000000000000009</v>
      </c>
      <c r="J24" s="104"/>
      <c r="K24" s="104"/>
      <c r="L24" s="104"/>
      <c r="M24" s="21"/>
      <c r="N24" s="21"/>
      <c r="O24" s="21"/>
      <c r="P24" s="21"/>
      <c r="Q24" s="21"/>
      <c r="R24" s="21"/>
      <c r="S24" s="21"/>
      <c r="T24" s="21"/>
      <c r="U24" s="21"/>
      <c r="V24" s="21"/>
    </row>
    <row r="25" spans="1:22" ht="13.5" customHeight="1" x14ac:dyDescent="0.25">
      <c r="B25" s="20" t="s">
        <v>147</v>
      </c>
      <c r="C25" s="127">
        <v>1.7999999999999998</v>
      </c>
      <c r="D25" s="22" t="s">
        <v>67</v>
      </c>
      <c r="F25" s="21"/>
      <c r="G25" s="21"/>
      <c r="H25" s="21"/>
      <c r="I25" s="104">
        <f>CHOOSE($C$17,0.6*3,0.6*4,0.65*12,1,0.3*4,0.6*8,0.5*0,0.6*9,0.6*4)</f>
        <v>1.7999999999999998</v>
      </c>
      <c r="J25" s="104"/>
      <c r="K25" s="104"/>
      <c r="L25" s="104"/>
      <c r="M25" s="21"/>
      <c r="N25" s="21"/>
      <c r="O25" s="21"/>
      <c r="P25" s="21"/>
      <c r="Q25" s="21"/>
      <c r="R25" s="21"/>
      <c r="S25" s="21"/>
      <c r="T25" s="21"/>
      <c r="U25" s="21"/>
      <c r="V25" s="21"/>
    </row>
    <row r="26" spans="1:22" ht="13.5" customHeight="1" x14ac:dyDescent="0.3">
      <c r="B26" s="20" t="s">
        <v>148</v>
      </c>
      <c r="C26" s="127">
        <v>1.2</v>
      </c>
      <c r="D26" s="22" t="s">
        <v>67</v>
      </c>
      <c r="E26" s="15"/>
      <c r="F26" s="21"/>
      <c r="G26" s="21"/>
      <c r="H26" s="21"/>
      <c r="I26" s="104">
        <f>CHOOSE($C$17,0.6*2,0.6*3,0.65*5,2,0.3*4,0.6*14,0.5*5,0.6*8,0.6*3)</f>
        <v>1.2</v>
      </c>
      <c r="J26" s="104"/>
      <c r="K26" s="104"/>
      <c r="L26" s="104"/>
      <c r="M26" s="21"/>
      <c r="N26" s="21"/>
      <c r="O26" s="21"/>
      <c r="P26" s="21"/>
      <c r="Q26" s="21"/>
      <c r="R26" s="21"/>
      <c r="S26" s="21"/>
      <c r="T26" s="21"/>
      <c r="U26" s="21"/>
      <c r="V26" s="21"/>
    </row>
    <row r="27" spans="1:22" ht="15" customHeight="1" x14ac:dyDescent="0.3">
      <c r="B27" s="98" t="s">
        <v>204</v>
      </c>
      <c r="C27" s="129">
        <f>(C24+C25+C26)*C18</f>
        <v>529.19999999999993</v>
      </c>
      <c r="D27" s="99" t="s">
        <v>81</v>
      </c>
      <c r="E27" s="15"/>
      <c r="F27" s="21"/>
      <c r="G27" s="21"/>
      <c r="H27" s="21"/>
      <c r="I27" s="104"/>
      <c r="J27" s="104"/>
      <c r="K27" s="104"/>
      <c r="L27" s="104"/>
      <c r="M27" s="21"/>
      <c r="N27" s="21"/>
      <c r="O27" s="21"/>
      <c r="P27" s="21"/>
      <c r="Q27" s="21"/>
      <c r="R27" s="21"/>
      <c r="S27" s="21"/>
      <c r="T27" s="21"/>
      <c r="U27" s="21"/>
      <c r="V27" s="21"/>
    </row>
    <row r="28" spans="1:22" s="21" customFormat="1" ht="15" customHeight="1" x14ac:dyDescent="0.3">
      <c r="B28" s="1" t="s">
        <v>205</v>
      </c>
      <c r="C28" s="22"/>
      <c r="D28" s="22"/>
      <c r="E28" s="22"/>
      <c r="I28" s="104"/>
      <c r="J28" s="104"/>
      <c r="K28" s="104"/>
      <c r="L28" s="104"/>
    </row>
    <row r="29" spans="1:22" ht="15" customHeight="1" x14ac:dyDescent="0.4">
      <c r="B29" s="20" t="s">
        <v>152</v>
      </c>
      <c r="C29" s="130" t="s">
        <v>150</v>
      </c>
      <c r="D29" s="130" t="s">
        <v>95</v>
      </c>
      <c r="E29" s="130" t="s">
        <v>137</v>
      </c>
      <c r="F29" s="21"/>
      <c r="G29" s="21"/>
      <c r="H29" s="21"/>
      <c r="I29" s="104"/>
      <c r="J29" s="142" t="s">
        <v>95</v>
      </c>
      <c r="K29" s="142" t="s">
        <v>269</v>
      </c>
      <c r="L29" s="104"/>
      <c r="M29" s="21"/>
      <c r="N29" s="21"/>
      <c r="O29" s="21"/>
      <c r="P29" s="21"/>
      <c r="Q29" s="21"/>
      <c r="R29" s="21"/>
      <c r="S29" s="21"/>
      <c r="T29" s="21"/>
      <c r="U29" s="21"/>
      <c r="V29" s="21"/>
    </row>
    <row r="30" spans="1:22" ht="15" customHeight="1" x14ac:dyDescent="0.25">
      <c r="B30" s="20" t="s">
        <v>96</v>
      </c>
      <c r="C30" s="126">
        <v>5</v>
      </c>
      <c r="D30" s="126">
        <v>0.5</v>
      </c>
      <c r="E30" s="131">
        <v>0.72</v>
      </c>
      <c r="G30" s="21"/>
      <c r="H30" s="21"/>
      <c r="I30" s="104">
        <f>INT(0.2*0.15*$C$18/0.9+0.5)</f>
        <v>5</v>
      </c>
      <c r="J30" s="104">
        <v>0.5</v>
      </c>
      <c r="K30" s="143">
        <v>0.72</v>
      </c>
      <c r="L30" s="104"/>
      <c r="M30" s="21"/>
      <c r="N30" s="21"/>
      <c r="O30" s="21"/>
      <c r="P30" s="21"/>
      <c r="Q30" s="21"/>
      <c r="R30" s="21"/>
      <c r="S30" s="21"/>
      <c r="T30" s="21"/>
      <c r="U30" s="21"/>
      <c r="V30" s="21"/>
    </row>
    <row r="31" spans="1:22" ht="13.5" customHeight="1" x14ac:dyDescent="0.25">
      <c r="A31" s="6"/>
      <c r="B31" s="20" t="s">
        <v>97</v>
      </c>
      <c r="C31" s="126"/>
      <c r="D31" s="126"/>
      <c r="E31" s="131"/>
      <c r="G31" s="21"/>
      <c r="H31" s="21"/>
      <c r="I31" s="104"/>
      <c r="J31" s="104"/>
      <c r="K31" s="143"/>
      <c r="L31" s="104"/>
      <c r="M31" s="21"/>
      <c r="N31" s="21"/>
      <c r="O31" s="21"/>
      <c r="P31" s="21"/>
      <c r="Q31" s="21"/>
      <c r="R31" s="21"/>
      <c r="S31" s="21"/>
      <c r="T31" s="21"/>
      <c r="U31" s="21"/>
      <c r="V31" s="21"/>
    </row>
    <row r="32" spans="1:22" ht="13.5" customHeight="1" x14ac:dyDescent="0.25">
      <c r="B32" s="20" t="s">
        <v>98</v>
      </c>
      <c r="C32" s="126">
        <v>5</v>
      </c>
      <c r="D32" s="126">
        <v>0.5</v>
      </c>
      <c r="E32" s="131">
        <v>0.623</v>
      </c>
      <c r="G32" s="21"/>
      <c r="H32" s="21"/>
      <c r="I32" s="104">
        <f>INT(0.2*0.15*$C$18/0.9+0.5)</f>
        <v>5</v>
      </c>
      <c r="J32" s="104">
        <v>0.5</v>
      </c>
      <c r="K32" s="143">
        <v>0.623</v>
      </c>
      <c r="L32" s="104"/>
      <c r="M32" s="21"/>
      <c r="N32" s="21"/>
      <c r="O32" s="21"/>
      <c r="P32" s="21"/>
      <c r="Q32" s="21"/>
      <c r="R32" s="21"/>
      <c r="S32" s="21"/>
      <c r="T32" s="21"/>
      <c r="U32" s="21"/>
      <c r="V32" s="21"/>
    </row>
    <row r="33" spans="1:22" ht="13.5" customHeight="1" x14ac:dyDescent="0.25">
      <c r="B33" s="20" t="s">
        <v>99</v>
      </c>
      <c r="C33" s="126"/>
      <c r="D33" s="126"/>
      <c r="E33" s="131"/>
      <c r="G33" s="21"/>
      <c r="H33" s="21"/>
      <c r="I33" s="104"/>
      <c r="J33" s="104"/>
      <c r="K33" s="143"/>
      <c r="L33" s="104"/>
      <c r="M33" s="21"/>
      <c r="N33" s="21"/>
      <c r="O33" s="21"/>
      <c r="P33" s="21"/>
      <c r="Q33" s="21"/>
      <c r="R33" s="21"/>
      <c r="S33" s="21"/>
      <c r="T33" s="21"/>
      <c r="U33" s="21"/>
      <c r="V33" s="21"/>
    </row>
    <row r="34" spans="1:22" ht="13.5" customHeight="1" x14ac:dyDescent="0.25">
      <c r="B34" s="20" t="s">
        <v>100</v>
      </c>
      <c r="C34" s="126">
        <v>10</v>
      </c>
      <c r="D34" s="126">
        <v>0.5</v>
      </c>
      <c r="E34" s="131">
        <v>0.56999999999999995</v>
      </c>
      <c r="G34" s="21"/>
      <c r="H34" s="21"/>
      <c r="I34" s="104">
        <f>INT(0.4*0.15*$C$18/0.9+0.5)</f>
        <v>10</v>
      </c>
      <c r="J34" s="104">
        <v>0.5</v>
      </c>
      <c r="K34" s="143">
        <v>0.56999999999999995</v>
      </c>
      <c r="L34" s="104"/>
      <c r="M34" s="21"/>
      <c r="N34" s="21"/>
      <c r="O34" s="21"/>
      <c r="P34" s="21"/>
      <c r="Q34" s="21"/>
      <c r="R34" s="21"/>
      <c r="S34" s="21"/>
      <c r="T34" s="21"/>
      <c r="U34" s="21"/>
      <c r="V34" s="21"/>
    </row>
    <row r="35" spans="1:22" ht="13.5" customHeight="1" x14ac:dyDescent="0.25">
      <c r="B35" s="20" t="s">
        <v>101</v>
      </c>
      <c r="C35" s="126"/>
      <c r="D35" s="126"/>
      <c r="E35" s="131"/>
      <c r="G35" s="21"/>
      <c r="H35" s="21"/>
      <c r="I35" s="104"/>
      <c r="J35" s="104"/>
      <c r="K35" s="143"/>
      <c r="L35" s="104"/>
      <c r="M35" s="21"/>
      <c r="N35" s="21"/>
      <c r="O35" s="21"/>
      <c r="P35" s="21"/>
      <c r="Q35" s="21"/>
      <c r="R35" s="21"/>
      <c r="S35" s="21"/>
      <c r="T35" s="21"/>
      <c r="U35" s="21"/>
      <c r="V35" s="21"/>
    </row>
    <row r="36" spans="1:22" ht="13.5" customHeight="1" x14ac:dyDescent="0.25">
      <c r="B36" s="20" t="s">
        <v>102</v>
      </c>
      <c r="C36" s="126">
        <v>5</v>
      </c>
      <c r="D36" s="126">
        <v>0.5</v>
      </c>
      <c r="E36" s="131">
        <v>0.623</v>
      </c>
      <c r="G36" s="21"/>
      <c r="H36" s="21"/>
      <c r="I36" s="104">
        <f>INT(0.2*0.15*$C$18/0.9+0.5)</f>
        <v>5</v>
      </c>
      <c r="J36" s="104">
        <v>0.5</v>
      </c>
      <c r="K36" s="143">
        <v>0.623</v>
      </c>
      <c r="L36" s="104"/>
      <c r="M36" s="21"/>
      <c r="N36" s="21"/>
      <c r="O36" s="21"/>
      <c r="P36" s="21"/>
      <c r="Q36" s="21"/>
      <c r="R36" s="21"/>
      <c r="S36" s="21"/>
      <c r="T36" s="21"/>
      <c r="U36" s="21"/>
      <c r="V36" s="21"/>
    </row>
    <row r="37" spans="1:22" ht="13.5" customHeight="1" x14ac:dyDescent="0.25">
      <c r="B37" s="20" t="s">
        <v>103</v>
      </c>
      <c r="C37" s="126"/>
      <c r="D37" s="126"/>
      <c r="E37" s="126"/>
      <c r="G37" s="21"/>
      <c r="I37" s="104"/>
      <c r="J37" s="104"/>
      <c r="K37" s="104"/>
      <c r="L37" s="104"/>
      <c r="M37" s="21"/>
      <c r="N37" s="21"/>
      <c r="O37" s="21"/>
      <c r="P37" s="21"/>
      <c r="Q37" s="21"/>
      <c r="R37" s="21"/>
      <c r="S37" s="21"/>
      <c r="T37" s="21"/>
      <c r="U37" s="21"/>
      <c r="V37" s="21"/>
    </row>
    <row r="38" spans="1:22" ht="13.5" customHeight="1" x14ac:dyDescent="0.25">
      <c r="B38" s="20" t="s">
        <v>83</v>
      </c>
      <c r="C38" s="132">
        <f>SUM(C30:C37)</f>
        <v>25</v>
      </c>
      <c r="G38" s="21"/>
      <c r="H38" s="21"/>
      <c r="I38" s="104"/>
      <c r="J38" s="104"/>
      <c r="K38" s="104"/>
      <c r="L38" s="104"/>
      <c r="M38" s="21"/>
      <c r="N38" s="21"/>
      <c r="O38" s="21"/>
      <c r="P38" s="21"/>
      <c r="Q38" s="21"/>
      <c r="R38" s="21"/>
      <c r="S38" s="21"/>
      <c r="T38" s="21"/>
      <c r="U38" s="21"/>
      <c r="V38" s="21"/>
    </row>
    <row r="39" spans="1:22" ht="13.5" customHeight="1" x14ac:dyDescent="0.25">
      <c r="B39" s="98" t="s">
        <v>215</v>
      </c>
      <c r="C39" s="129">
        <f ca="1">'Hki-2012'!CN21</f>
        <v>340.94749251665462</v>
      </c>
      <c r="D39" s="99" t="s">
        <v>81</v>
      </c>
      <c r="G39" s="21"/>
      <c r="H39" s="21"/>
      <c r="I39" s="104"/>
      <c r="J39" s="104"/>
      <c r="K39" s="104"/>
      <c r="L39" s="104"/>
      <c r="M39" s="21"/>
      <c r="N39" s="21"/>
      <c r="O39" s="21"/>
      <c r="P39" s="21"/>
      <c r="Q39" s="21"/>
      <c r="R39" s="21"/>
      <c r="S39" s="21"/>
      <c r="T39" s="21"/>
      <c r="U39" s="21"/>
      <c r="V39" s="21"/>
    </row>
    <row r="40" spans="1:22" ht="13.5" customHeight="1" x14ac:dyDescent="0.25">
      <c r="B40" s="133"/>
      <c r="G40" s="21"/>
      <c r="H40" s="21"/>
      <c r="I40" s="104"/>
      <c r="J40" s="104"/>
      <c r="K40" s="104"/>
      <c r="L40" s="104"/>
      <c r="M40" s="21"/>
      <c r="N40" s="21"/>
      <c r="O40" s="21"/>
      <c r="P40" s="21"/>
      <c r="Q40" s="21"/>
      <c r="R40" s="21"/>
      <c r="S40" s="21"/>
      <c r="T40" s="21"/>
      <c r="U40" s="21"/>
      <c r="V40" s="21"/>
    </row>
    <row r="41" spans="1:22" ht="13.5" customHeight="1" x14ac:dyDescent="0.3">
      <c r="B41" s="101" t="s">
        <v>201</v>
      </c>
      <c r="C41" s="21"/>
      <c r="D41" s="21"/>
      <c r="E41" s="21"/>
      <c r="F41" s="21"/>
      <c r="G41" s="21"/>
      <c r="H41" s="21"/>
      <c r="I41" s="104"/>
      <c r="J41" s="104"/>
      <c r="K41" s="104"/>
      <c r="L41" s="104"/>
      <c r="M41" s="21"/>
      <c r="N41" s="21"/>
      <c r="O41" s="21"/>
      <c r="P41" s="21"/>
      <c r="Q41" s="21"/>
      <c r="R41" s="21"/>
      <c r="S41" s="21"/>
      <c r="T41" s="21"/>
      <c r="U41" s="21"/>
      <c r="V41" s="21"/>
    </row>
    <row r="42" spans="1:22" ht="13.5" customHeight="1" x14ac:dyDescent="0.25">
      <c r="B42" s="98" t="s">
        <v>179</v>
      </c>
      <c r="C42" s="127">
        <v>35</v>
      </c>
      <c r="D42" s="99" t="s">
        <v>180</v>
      </c>
      <c r="E42" s="100"/>
      <c r="F42" s="21"/>
      <c r="G42" s="21"/>
      <c r="H42" s="21"/>
      <c r="I42" s="104">
        <f>CHOOSE(C17,35,35,6,4,40,11,20,30,35)</f>
        <v>35</v>
      </c>
      <c r="J42" s="104"/>
      <c r="K42" s="104"/>
      <c r="L42" s="104"/>
      <c r="M42" s="21"/>
      <c r="N42" s="21"/>
      <c r="O42" s="21"/>
      <c r="P42" s="21"/>
      <c r="Q42" s="21"/>
      <c r="R42" s="21"/>
      <c r="S42" s="21"/>
      <c r="T42" s="21"/>
      <c r="U42" s="21"/>
      <c r="V42" s="21"/>
    </row>
    <row r="43" spans="1:22" ht="13.5" customHeight="1" x14ac:dyDescent="0.25">
      <c r="B43" s="98" t="s">
        <v>181</v>
      </c>
      <c r="C43" s="127">
        <v>510</v>
      </c>
      <c r="D43" s="99" t="s">
        <v>25</v>
      </c>
      <c r="E43" s="100"/>
      <c r="F43" s="21"/>
      <c r="I43" s="104">
        <f>INT(I42*C18/10/10)*10</f>
        <v>510</v>
      </c>
      <c r="J43" s="104"/>
      <c r="K43" s="104"/>
      <c r="L43" s="104"/>
      <c r="M43" s="21"/>
      <c r="N43" s="21"/>
      <c r="O43" s="21"/>
      <c r="P43" s="21"/>
      <c r="Q43" s="21"/>
      <c r="R43" s="21"/>
      <c r="S43" s="21"/>
      <c r="T43" s="21"/>
      <c r="U43" s="21"/>
      <c r="V43" s="21"/>
    </row>
    <row r="44" spans="1:22" ht="13.5" customHeight="1" x14ac:dyDescent="0.25">
      <c r="B44" s="99"/>
      <c r="C44" s="134"/>
      <c r="D44" s="99"/>
      <c r="E44" s="100"/>
      <c r="F44" s="21"/>
      <c r="I44" s="104"/>
      <c r="J44" s="104"/>
      <c r="K44" s="104"/>
      <c r="L44" s="104"/>
      <c r="M44" s="21"/>
      <c r="N44" s="21"/>
      <c r="O44" s="21"/>
      <c r="P44" s="21"/>
      <c r="Q44" s="21"/>
      <c r="R44" s="21"/>
      <c r="S44" s="21"/>
      <c r="T44" s="21"/>
      <c r="U44" s="21"/>
      <c r="V44" s="21"/>
    </row>
    <row r="45" spans="1:22" ht="13.5" customHeight="1" x14ac:dyDescent="0.3">
      <c r="A45" s="6"/>
      <c r="B45" s="16" t="s">
        <v>172</v>
      </c>
      <c r="C45" s="134"/>
      <c r="D45" s="99"/>
      <c r="E45" s="135"/>
      <c r="I45" s="104"/>
      <c r="J45" s="104"/>
      <c r="K45" s="104"/>
      <c r="L45" s="104"/>
      <c r="M45" s="21"/>
      <c r="N45" s="21"/>
      <c r="O45" s="21"/>
      <c r="P45" s="21"/>
      <c r="Q45" s="21"/>
      <c r="R45" s="21"/>
      <c r="S45" s="21"/>
      <c r="T45" s="21"/>
      <c r="U45" s="21"/>
      <c r="V45" s="21"/>
    </row>
    <row r="46" spans="1:22" ht="13.5" customHeight="1" x14ac:dyDescent="0.25">
      <c r="B46" s="98" t="s">
        <v>154</v>
      </c>
      <c r="C46" s="136">
        <v>2.5</v>
      </c>
      <c r="D46" s="99"/>
      <c r="I46" s="104">
        <v>2.5</v>
      </c>
      <c r="J46" s="104"/>
      <c r="K46" s="104"/>
      <c r="L46" s="104"/>
      <c r="M46" s="21"/>
      <c r="N46" s="21"/>
      <c r="O46" s="21"/>
      <c r="P46" s="21"/>
      <c r="Q46" s="21"/>
      <c r="R46" s="21"/>
      <c r="S46" s="21"/>
      <c r="T46" s="21"/>
      <c r="U46" s="21"/>
      <c r="V46" s="21"/>
    </row>
    <row r="47" spans="1:22" ht="13.5" customHeight="1" x14ac:dyDescent="0.25">
      <c r="B47" s="20" t="s">
        <v>132</v>
      </c>
      <c r="C47" s="128">
        <v>350</v>
      </c>
      <c r="D47" s="99" t="s">
        <v>81</v>
      </c>
      <c r="I47" s="104">
        <f>INT(1.2*E14*5*100)*10</f>
        <v>350</v>
      </c>
      <c r="J47" s="104"/>
      <c r="K47" s="104"/>
      <c r="L47" s="104"/>
      <c r="M47" s="21"/>
      <c r="N47" s="21"/>
      <c r="O47" s="21"/>
      <c r="P47" s="21"/>
      <c r="Q47" s="21"/>
      <c r="R47" s="21"/>
      <c r="S47" s="21"/>
      <c r="T47" s="21"/>
      <c r="U47" s="21"/>
      <c r="V47" s="21"/>
    </row>
    <row r="48" spans="1:22" ht="48" customHeight="1" x14ac:dyDescent="0.25">
      <c r="G48" s="21"/>
      <c r="H48" s="21"/>
      <c r="I48" s="104"/>
      <c r="J48" s="104"/>
      <c r="K48" s="104"/>
      <c r="L48" s="104"/>
      <c r="M48" s="21"/>
      <c r="N48" s="21"/>
      <c r="O48" s="21"/>
      <c r="P48" s="21"/>
      <c r="Q48" s="21"/>
      <c r="R48" s="21"/>
      <c r="S48" s="21"/>
      <c r="T48" s="21"/>
      <c r="U48" s="21"/>
      <c r="V48" s="21"/>
    </row>
    <row r="49" spans="1:22" ht="13.5" customHeight="1" x14ac:dyDescent="0.25">
      <c r="B49" s="20" t="s">
        <v>360</v>
      </c>
      <c r="C49" s="137">
        <f>D14/E14</f>
        <v>0.89830508474576276</v>
      </c>
      <c r="G49" s="21"/>
      <c r="H49" s="21"/>
      <c r="I49" s="104"/>
      <c r="J49" s="104"/>
      <c r="K49" s="104"/>
      <c r="L49" s="104"/>
      <c r="M49" s="21"/>
      <c r="N49" s="21"/>
      <c r="O49" s="21"/>
      <c r="P49" s="21"/>
      <c r="Q49" s="21"/>
      <c r="R49" s="21"/>
      <c r="S49" s="21"/>
      <c r="T49" s="21"/>
      <c r="U49" s="21"/>
      <c r="V49" s="21"/>
    </row>
    <row r="50" spans="1:22" ht="13.5" customHeight="1" x14ac:dyDescent="0.3">
      <c r="B50" s="1" t="s">
        <v>157</v>
      </c>
      <c r="G50" s="21"/>
      <c r="H50" s="21"/>
      <c r="I50" s="104"/>
      <c r="J50" s="104"/>
      <c r="K50" s="104"/>
      <c r="L50" s="104"/>
      <c r="M50" s="21"/>
      <c r="N50" s="21"/>
      <c r="O50" s="21"/>
      <c r="P50" s="21"/>
      <c r="Q50" s="21"/>
      <c r="R50" s="21"/>
      <c r="S50" s="21"/>
      <c r="T50" s="21"/>
      <c r="U50" s="21"/>
      <c r="V50" s="21"/>
    </row>
    <row r="51" spans="1:22" ht="13.5" customHeight="1" x14ac:dyDescent="0.25">
      <c r="B51" s="20" t="s">
        <v>37</v>
      </c>
      <c r="C51" s="144">
        <v>0.6</v>
      </c>
      <c r="G51" s="21"/>
      <c r="H51" s="21"/>
      <c r="I51" s="104">
        <v>0.6</v>
      </c>
      <c r="J51" s="104"/>
      <c r="K51" s="104"/>
      <c r="L51" s="104"/>
      <c r="M51" s="21"/>
      <c r="N51" s="21"/>
      <c r="O51" s="21"/>
      <c r="P51" s="21"/>
      <c r="Q51" s="21"/>
      <c r="R51" s="21"/>
      <c r="S51" s="21"/>
      <c r="T51" s="21"/>
      <c r="U51" s="21"/>
      <c r="V51" s="21"/>
    </row>
    <row r="52" spans="1:22" ht="13.5" customHeight="1" x14ac:dyDescent="0.25">
      <c r="B52" s="20" t="s">
        <v>29</v>
      </c>
      <c r="C52" s="137">
        <f>MIN(1,(C51&gt;=0)*(C51&lt;=1)*(2/(1+C49)*C51)+(C51&gt;1)*(C51&lt;=100)*(2/(1+C49)*C51/100)+(C51&lt;0)*0+(C51&gt;100)*0)</f>
        <v>0.63214285714285712</v>
      </c>
      <c r="G52" s="21"/>
      <c r="H52" s="21"/>
      <c r="I52" s="104"/>
      <c r="J52" s="104"/>
      <c r="K52" s="104"/>
      <c r="L52" s="104"/>
      <c r="M52" s="21"/>
      <c r="N52" s="21"/>
      <c r="O52" s="21"/>
      <c r="P52" s="21"/>
      <c r="Q52" s="21"/>
      <c r="R52" s="21"/>
      <c r="S52" s="21"/>
      <c r="T52" s="21"/>
      <c r="U52" s="21"/>
      <c r="V52" s="21"/>
    </row>
    <row r="53" spans="1:22" ht="13.5" customHeight="1" x14ac:dyDescent="0.25">
      <c r="B53" s="20" t="s">
        <v>26</v>
      </c>
      <c r="C53" s="137">
        <f>MIN(1,C52*C49)</f>
        <v>0.56785714285714284</v>
      </c>
      <c r="G53" s="21"/>
      <c r="H53" s="21"/>
      <c r="I53" s="104"/>
      <c r="J53" s="104"/>
      <c r="K53" s="104"/>
      <c r="L53" s="104"/>
      <c r="M53" s="21"/>
      <c r="N53" s="21"/>
      <c r="O53" s="21"/>
      <c r="P53" s="21"/>
      <c r="Q53" s="21"/>
      <c r="R53" s="21"/>
      <c r="S53" s="21"/>
      <c r="T53" s="21"/>
      <c r="U53" s="21"/>
      <c r="V53" s="21"/>
    </row>
    <row r="54" spans="1:22" ht="13.5" customHeight="1" x14ac:dyDescent="0.3">
      <c r="B54" s="1" t="s">
        <v>156</v>
      </c>
      <c r="G54" s="21"/>
      <c r="H54" s="21"/>
      <c r="I54" s="104"/>
      <c r="J54" s="104"/>
      <c r="K54" s="104"/>
      <c r="L54" s="104"/>
      <c r="M54" s="21"/>
      <c r="N54" s="21"/>
      <c r="O54" s="21"/>
      <c r="P54" s="21"/>
      <c r="Q54" s="21"/>
      <c r="R54" s="21"/>
      <c r="S54" s="21"/>
      <c r="T54" s="21"/>
      <c r="U54" s="21"/>
      <c r="V54" s="21"/>
    </row>
    <row r="55" spans="1:22" ht="13.5" customHeight="1" x14ac:dyDescent="0.25">
      <c r="B55" s="20" t="s">
        <v>160</v>
      </c>
      <c r="C55" s="127">
        <v>21</v>
      </c>
      <c r="D55" s="99" t="s">
        <v>30</v>
      </c>
      <c r="G55" s="21"/>
      <c r="H55" s="21"/>
      <c r="I55" s="104">
        <v>21</v>
      </c>
      <c r="J55" s="104"/>
      <c r="K55" s="104"/>
      <c r="L55" s="104"/>
      <c r="M55" s="21"/>
      <c r="N55" s="21"/>
      <c r="O55" s="21"/>
      <c r="P55" s="21"/>
      <c r="Q55" s="21"/>
      <c r="R55" s="21"/>
      <c r="S55" s="21"/>
      <c r="T55" s="21"/>
      <c r="U55" s="21"/>
      <c r="V55" s="21"/>
    </row>
    <row r="56" spans="1:22" ht="13.5" customHeight="1" x14ac:dyDescent="0.25">
      <c r="B56" s="20" t="s">
        <v>321</v>
      </c>
      <c r="C56" s="127">
        <v>0</v>
      </c>
      <c r="D56" s="99" t="s">
        <v>30</v>
      </c>
      <c r="G56" s="21"/>
      <c r="H56" s="21"/>
      <c r="I56" s="104">
        <v>0</v>
      </c>
      <c r="J56" s="104"/>
      <c r="K56" s="104"/>
      <c r="L56" s="104"/>
      <c r="M56" s="21"/>
      <c r="N56" s="21"/>
      <c r="O56" s="21"/>
      <c r="P56" s="21"/>
      <c r="Q56" s="21"/>
      <c r="R56" s="21"/>
      <c r="S56" s="21"/>
      <c r="T56" s="21"/>
      <c r="U56" s="21"/>
      <c r="V56" s="21"/>
    </row>
    <row r="57" spans="1:22" ht="13.5" customHeight="1" x14ac:dyDescent="0.25">
      <c r="B57" s="20" t="s">
        <v>322</v>
      </c>
      <c r="C57" s="127">
        <v>0</v>
      </c>
      <c r="D57" s="99" t="s">
        <v>30</v>
      </c>
      <c r="E57" s="135"/>
      <c r="F57" s="99"/>
      <c r="G57" s="21"/>
      <c r="H57" s="21"/>
      <c r="I57" s="104">
        <v>0</v>
      </c>
      <c r="J57" s="104"/>
      <c r="K57" s="104"/>
      <c r="L57" s="104"/>
      <c r="M57" s="21"/>
      <c r="N57" s="21"/>
      <c r="O57" s="21"/>
      <c r="P57" s="21"/>
      <c r="Q57" s="21"/>
      <c r="R57" s="21"/>
      <c r="S57" s="21"/>
      <c r="T57" s="21"/>
      <c r="U57" s="21"/>
      <c r="V57" s="21"/>
    </row>
    <row r="58" spans="1:22" ht="13.5" customHeight="1" x14ac:dyDescent="0.25">
      <c r="A58" s="6"/>
      <c r="B58" s="20" t="s">
        <v>173</v>
      </c>
      <c r="C58" s="127">
        <v>15</v>
      </c>
      <c r="D58" s="99" t="s">
        <v>30</v>
      </c>
      <c r="G58" s="21"/>
      <c r="H58" s="21"/>
      <c r="I58" s="104">
        <v>15</v>
      </c>
      <c r="J58" s="104"/>
      <c r="K58" s="104"/>
      <c r="L58" s="104"/>
      <c r="M58" s="21"/>
      <c r="N58" s="21"/>
      <c r="O58" s="21"/>
      <c r="P58" s="21"/>
      <c r="Q58" s="21"/>
      <c r="R58" s="21"/>
      <c r="S58" s="21"/>
      <c r="T58" s="21"/>
      <c r="U58" s="21"/>
      <c r="V58" s="21"/>
    </row>
    <row r="59" spans="1:22" ht="13.5" customHeight="1" x14ac:dyDescent="0.25">
      <c r="A59" s="6"/>
      <c r="B59" s="20" t="s">
        <v>364</v>
      </c>
      <c r="C59" s="126">
        <v>1</v>
      </c>
      <c r="D59" s="99"/>
      <c r="E59" s="104">
        <f>'Hki-2012'!$BO$14</f>
        <v>2</v>
      </c>
      <c r="G59" s="21"/>
      <c r="H59" s="21"/>
      <c r="I59" s="104">
        <v>1</v>
      </c>
      <c r="J59" s="104"/>
      <c r="K59" s="104"/>
      <c r="L59" s="104"/>
      <c r="M59" s="21"/>
      <c r="N59" s="21"/>
      <c r="O59" s="21"/>
      <c r="P59" s="21"/>
      <c r="Q59" s="21"/>
      <c r="R59" s="21"/>
      <c r="S59" s="21"/>
      <c r="T59" s="21"/>
      <c r="U59" s="21"/>
      <c r="V59" s="21"/>
    </row>
    <row r="60" spans="1:22" ht="13.5" customHeight="1" x14ac:dyDescent="0.25">
      <c r="G60" s="21"/>
      <c r="H60" s="21"/>
      <c r="I60" s="21"/>
      <c r="J60" s="21"/>
      <c r="K60" s="21"/>
      <c r="L60" s="21"/>
      <c r="M60" s="21"/>
      <c r="N60" s="21"/>
      <c r="O60" s="21"/>
      <c r="P60" s="21"/>
      <c r="Q60" s="21"/>
      <c r="R60" s="21"/>
      <c r="S60" s="21"/>
      <c r="T60" s="21"/>
      <c r="U60" s="21"/>
      <c r="V60" s="21"/>
    </row>
    <row r="61" spans="1:22" ht="13.5" customHeight="1" x14ac:dyDescent="0.4">
      <c r="B61" s="1" t="s">
        <v>151</v>
      </c>
      <c r="D61" s="21"/>
      <c r="G61" s="21"/>
      <c r="H61" s="21"/>
      <c r="I61" s="21"/>
      <c r="J61" s="21"/>
      <c r="K61" s="21"/>
      <c r="L61" s="21"/>
      <c r="M61" s="21"/>
      <c r="N61" s="21"/>
      <c r="O61" s="21"/>
      <c r="P61" s="21"/>
      <c r="Q61" s="21"/>
      <c r="R61" s="21"/>
      <c r="S61" s="21"/>
      <c r="T61" s="21"/>
      <c r="U61" s="21"/>
      <c r="V61" s="21"/>
    </row>
    <row r="62" spans="1:22" ht="13.5" customHeight="1" thickBot="1" x14ac:dyDescent="0.3">
      <c r="B62" s="22" t="s">
        <v>28</v>
      </c>
      <c r="D62" s="21"/>
      <c r="G62" s="21"/>
      <c r="H62" s="21"/>
      <c r="I62" s="21"/>
      <c r="J62" s="21"/>
      <c r="K62" s="21"/>
      <c r="L62" s="21"/>
      <c r="M62" s="21"/>
      <c r="N62" s="21"/>
      <c r="O62" s="21"/>
      <c r="P62" s="21"/>
      <c r="Q62" s="21"/>
      <c r="R62" s="21"/>
      <c r="S62" s="21"/>
      <c r="T62" s="21"/>
      <c r="U62" s="21"/>
      <c r="V62" s="21"/>
    </row>
    <row r="63" spans="1:22" ht="13.5" customHeight="1" thickBot="1" x14ac:dyDescent="0.3">
      <c r="B63" s="138" t="s">
        <v>366</v>
      </c>
      <c r="C63" s="139">
        <f ca="1">IF(NOW()&lt;C69,IF(ABS('Hki-2012'!FT3)&lt;0.002,'Hki-2012'!HB10,"Laske!!!"),"vanhentunut")</f>
        <v>0.72107450591013367</v>
      </c>
      <c r="D63" s="21"/>
      <c r="G63" s="21"/>
      <c r="H63" s="21"/>
      <c r="I63" s="21"/>
      <c r="J63" s="21"/>
      <c r="K63" s="21"/>
      <c r="L63" s="21"/>
      <c r="M63" s="21"/>
      <c r="N63" s="21"/>
      <c r="O63" s="21"/>
      <c r="P63" s="21"/>
      <c r="Q63" s="21"/>
      <c r="R63" s="21"/>
      <c r="S63" s="21"/>
      <c r="T63" s="21"/>
      <c r="U63" s="21"/>
      <c r="V63" s="21"/>
    </row>
    <row r="64" spans="1:22" ht="13.5" customHeight="1" thickBot="1" x14ac:dyDescent="0.3">
      <c r="F64" s="21"/>
      <c r="G64" s="21"/>
      <c r="H64" s="21"/>
      <c r="I64" s="21"/>
      <c r="J64" s="21"/>
      <c r="K64" s="21"/>
      <c r="L64" s="21"/>
      <c r="M64" s="21"/>
      <c r="N64" s="21"/>
      <c r="O64" s="21"/>
      <c r="P64" s="21"/>
      <c r="Q64" s="21"/>
      <c r="R64" s="21"/>
      <c r="S64" s="21"/>
      <c r="T64" s="21"/>
      <c r="U64" s="21"/>
      <c r="V64" s="21"/>
    </row>
    <row r="65" spans="1:22" ht="13.5" customHeight="1" thickBot="1" x14ac:dyDescent="0.3">
      <c r="B65" s="20" t="s">
        <v>337</v>
      </c>
      <c r="C65" s="141" t="str">
        <f ca="1">IF(NOW()&lt;43100,IF(ABS('Hki-2012'!FT3)&lt;0.002,'Hki-2012'!HD8,"Laske!!!"),"vanhentunut")</f>
        <v>vanhentunut</v>
      </c>
      <c r="D65" s="99" t="s">
        <v>338</v>
      </c>
      <c r="F65" s="21"/>
      <c r="G65" s="21"/>
      <c r="H65" s="21"/>
      <c r="I65" s="21"/>
      <c r="J65" s="21"/>
      <c r="K65" s="21"/>
      <c r="L65" s="21"/>
      <c r="M65" s="21"/>
      <c r="N65" s="21"/>
      <c r="O65" s="21"/>
      <c r="P65" s="21"/>
      <c r="Q65" s="21"/>
      <c r="R65" s="21"/>
      <c r="S65" s="21"/>
      <c r="T65" s="21"/>
      <c r="U65" s="21"/>
      <c r="V65" s="21"/>
    </row>
    <row r="66" spans="1:22" ht="13.5" customHeight="1" x14ac:dyDescent="0.25">
      <c r="A66" s="21"/>
      <c r="B66" s="21"/>
      <c r="C66" s="21"/>
      <c r="D66" s="21"/>
      <c r="E66" s="21"/>
      <c r="F66" s="21"/>
      <c r="G66" s="21"/>
      <c r="H66" s="21"/>
      <c r="I66" s="21"/>
      <c r="J66" s="21"/>
      <c r="K66" s="21"/>
      <c r="L66" s="21"/>
      <c r="M66" s="21"/>
      <c r="N66" s="21"/>
      <c r="O66" s="21"/>
      <c r="P66" s="21"/>
      <c r="Q66" s="21"/>
      <c r="R66" s="21"/>
      <c r="S66" s="21"/>
      <c r="T66" s="21"/>
      <c r="U66" s="21"/>
      <c r="V66" s="21"/>
    </row>
    <row r="67" spans="1:22" x14ac:dyDescent="0.25">
      <c r="A67" s="21"/>
      <c r="B67" s="4" t="str">
        <f>Ilmanvaihto!$A$40</f>
        <v>© Ympäristöministeriö, PILP-laskin 2018 (versio maaliskuu 2017)</v>
      </c>
      <c r="D67" s="21"/>
      <c r="E67" s="21"/>
      <c r="F67" s="21"/>
      <c r="G67" s="21"/>
      <c r="H67" s="21"/>
      <c r="I67" s="21"/>
      <c r="J67" s="21"/>
      <c r="K67" s="21"/>
      <c r="L67" s="21"/>
      <c r="M67" s="21"/>
      <c r="N67" s="21"/>
      <c r="O67" s="21"/>
      <c r="P67" s="21"/>
      <c r="Q67" s="21"/>
      <c r="R67" s="21"/>
      <c r="S67" s="21"/>
      <c r="T67" s="21"/>
      <c r="U67" s="21"/>
      <c r="V67" s="21"/>
    </row>
    <row r="68" spans="1:22" x14ac:dyDescent="0.25">
      <c r="A68" s="21"/>
      <c r="B68" s="21"/>
      <c r="C68" s="21"/>
      <c r="D68" s="21"/>
      <c r="E68" s="21"/>
      <c r="F68" s="21"/>
      <c r="G68" s="21"/>
      <c r="H68" s="21"/>
      <c r="I68" s="21"/>
      <c r="J68" s="21"/>
      <c r="K68" s="21"/>
      <c r="L68" s="21"/>
      <c r="M68" s="21"/>
      <c r="N68" s="21"/>
      <c r="O68" s="21"/>
      <c r="P68" s="21"/>
      <c r="Q68" s="21"/>
      <c r="R68" s="21"/>
      <c r="S68" s="21"/>
      <c r="T68" s="21"/>
      <c r="U68" s="21"/>
      <c r="V68" s="21"/>
    </row>
    <row r="69" spans="1:22" x14ac:dyDescent="0.25">
      <c r="A69" s="21"/>
      <c r="B69" s="212" t="s">
        <v>339</v>
      </c>
      <c r="C69" s="213">
        <v>47848</v>
      </c>
      <c r="D69" s="152"/>
      <c r="E69" s="21"/>
      <c r="F69" s="21"/>
      <c r="G69" s="21"/>
      <c r="H69" s="21"/>
      <c r="I69" s="21"/>
      <c r="J69" s="21"/>
      <c r="K69" s="21"/>
      <c r="L69" s="21"/>
      <c r="M69" s="21"/>
      <c r="N69" s="21"/>
      <c r="O69" s="21"/>
      <c r="P69" s="21"/>
      <c r="Q69" s="21"/>
      <c r="R69" s="21"/>
      <c r="S69" s="21"/>
      <c r="T69" s="21"/>
      <c r="U69" s="21"/>
      <c r="V69" s="21"/>
    </row>
    <row r="70" spans="1:22" x14ac:dyDescent="0.25">
      <c r="A70" s="21"/>
      <c r="B70" s="21"/>
      <c r="C70" s="21"/>
      <c r="D70" s="21"/>
      <c r="E70" s="21"/>
      <c r="F70" s="21"/>
      <c r="G70" s="21"/>
      <c r="H70" s="21"/>
      <c r="I70" s="21"/>
      <c r="J70" s="21"/>
      <c r="K70" s="21"/>
      <c r="L70" s="21"/>
      <c r="M70" s="21"/>
      <c r="N70" s="21"/>
      <c r="O70" s="21"/>
      <c r="P70" s="21"/>
      <c r="Q70" s="21"/>
      <c r="R70" s="21"/>
      <c r="S70" s="21"/>
      <c r="T70" s="21"/>
      <c r="U70" s="21"/>
      <c r="V70" s="21"/>
    </row>
    <row r="71" spans="1:22" x14ac:dyDescent="0.25">
      <c r="A71" s="21"/>
      <c r="B71" s="21"/>
      <c r="C71" s="140"/>
      <c r="D71" s="21"/>
      <c r="E71" s="21"/>
      <c r="F71" s="21"/>
      <c r="G71" s="21"/>
      <c r="H71" s="21"/>
      <c r="I71" s="21"/>
      <c r="J71" s="21"/>
      <c r="K71" s="21"/>
      <c r="L71" s="21"/>
      <c r="M71" s="21"/>
      <c r="N71" s="21"/>
      <c r="O71" s="21"/>
      <c r="P71" s="21"/>
      <c r="Q71" s="21"/>
      <c r="R71" s="21"/>
      <c r="S71" s="21"/>
      <c r="T71" s="21"/>
      <c r="U71" s="21"/>
      <c r="V71" s="21"/>
    </row>
    <row r="72" spans="1:22" x14ac:dyDescent="0.25">
      <c r="A72" s="21"/>
      <c r="B72" s="21"/>
      <c r="C72" s="21"/>
      <c r="D72" s="21"/>
      <c r="E72" s="21"/>
      <c r="F72" s="21"/>
      <c r="G72" s="21"/>
      <c r="H72" s="21"/>
      <c r="I72" s="21"/>
      <c r="J72" s="21"/>
      <c r="K72" s="21"/>
      <c r="L72" s="21"/>
      <c r="M72" s="21"/>
      <c r="N72" s="21"/>
      <c r="O72" s="21"/>
      <c r="P72" s="21"/>
      <c r="Q72" s="21"/>
      <c r="R72" s="21"/>
      <c r="S72" s="21"/>
      <c r="T72" s="21"/>
      <c r="U72" s="21"/>
      <c r="V72" s="21"/>
    </row>
    <row r="73" spans="1:22" x14ac:dyDescent="0.25">
      <c r="A73" s="21"/>
      <c r="B73" s="21"/>
      <c r="C73" s="21"/>
      <c r="D73" s="21"/>
      <c r="E73" s="21"/>
      <c r="F73" s="21"/>
      <c r="G73" s="21"/>
      <c r="H73" s="21"/>
      <c r="I73" s="21"/>
      <c r="J73" s="21"/>
      <c r="K73" s="21"/>
      <c r="L73" s="21"/>
      <c r="M73" s="21"/>
      <c r="N73" s="21"/>
      <c r="O73" s="21"/>
      <c r="P73" s="21"/>
      <c r="Q73" s="21"/>
      <c r="R73" s="21"/>
      <c r="S73" s="21"/>
      <c r="T73" s="21"/>
      <c r="U73" s="21"/>
      <c r="V73" s="21"/>
    </row>
    <row r="74" spans="1:22" x14ac:dyDescent="0.25">
      <c r="A74" s="21"/>
      <c r="B74" s="21"/>
      <c r="C74" s="21"/>
      <c r="D74" s="21"/>
      <c r="E74" s="21"/>
      <c r="F74" s="21"/>
      <c r="G74" s="21"/>
      <c r="H74" s="21"/>
      <c r="I74" s="21"/>
      <c r="J74" s="21"/>
      <c r="K74" s="21"/>
      <c r="L74" s="21"/>
      <c r="M74" s="21"/>
      <c r="N74" s="21"/>
      <c r="O74" s="21"/>
      <c r="P74" s="21"/>
      <c r="Q74" s="21"/>
      <c r="R74" s="21"/>
      <c r="S74" s="21"/>
      <c r="T74" s="21"/>
      <c r="U74" s="21"/>
      <c r="V74" s="21"/>
    </row>
    <row r="75" spans="1:22" x14ac:dyDescent="0.25">
      <c r="A75" s="21"/>
      <c r="B75" s="21"/>
      <c r="C75" s="21"/>
      <c r="D75" s="21"/>
      <c r="E75" s="21"/>
      <c r="F75" s="21"/>
      <c r="G75" s="21"/>
      <c r="H75" s="104"/>
      <c r="I75" s="104"/>
      <c r="J75" s="104"/>
      <c r="K75" s="104"/>
      <c r="L75" s="104"/>
      <c r="M75" s="21"/>
      <c r="N75" s="21"/>
      <c r="O75" s="21"/>
      <c r="P75" s="21"/>
      <c r="Q75" s="21"/>
      <c r="R75" s="21"/>
      <c r="S75" s="21"/>
      <c r="T75" s="21"/>
      <c r="U75" s="21"/>
      <c r="V75" s="21"/>
    </row>
    <row r="76" spans="1:22" x14ac:dyDescent="0.25">
      <c r="A76" s="21"/>
      <c r="B76" s="21"/>
      <c r="C76" s="21"/>
      <c r="D76" s="21"/>
      <c r="E76" s="21"/>
      <c r="F76" s="21"/>
      <c r="G76" s="21"/>
      <c r="H76" s="104"/>
      <c r="I76" s="104"/>
      <c r="J76" s="104"/>
      <c r="K76" s="104"/>
      <c r="L76" s="104"/>
      <c r="M76" s="21"/>
      <c r="N76" s="21"/>
      <c r="O76" s="21"/>
      <c r="P76" s="21"/>
      <c r="Q76" s="21"/>
      <c r="R76" s="21"/>
      <c r="S76" s="21"/>
      <c r="T76" s="21"/>
      <c r="U76" s="21"/>
      <c r="V76" s="21"/>
    </row>
    <row r="77" spans="1:22" x14ac:dyDescent="0.25">
      <c r="A77" s="21"/>
      <c r="B77" s="21"/>
      <c r="C77" s="21"/>
      <c r="D77" s="21"/>
      <c r="E77" s="21"/>
      <c r="F77" s="21"/>
      <c r="G77" s="21"/>
      <c r="H77" s="104"/>
      <c r="I77" s="104"/>
      <c r="J77" s="104"/>
      <c r="K77" s="104"/>
      <c r="L77" s="104"/>
      <c r="M77" s="21"/>
      <c r="N77" s="21"/>
      <c r="O77" s="21"/>
      <c r="P77" s="21"/>
      <c r="Q77" s="21"/>
      <c r="R77" s="21"/>
      <c r="S77" s="21"/>
      <c r="T77" s="21"/>
      <c r="U77" s="21"/>
      <c r="V77" s="21"/>
    </row>
    <row r="78" spans="1:22" x14ac:dyDescent="0.25">
      <c r="A78" s="21"/>
      <c r="B78" s="21"/>
      <c r="C78" s="21"/>
      <c r="D78" s="21"/>
      <c r="E78" s="21"/>
      <c r="F78" s="21"/>
      <c r="G78" s="21"/>
      <c r="H78" s="104"/>
      <c r="I78" s="104"/>
      <c r="J78" s="104"/>
      <c r="K78" s="104"/>
      <c r="L78" s="104"/>
      <c r="M78" s="21"/>
      <c r="N78" s="21"/>
      <c r="O78" s="21"/>
      <c r="P78" s="21"/>
      <c r="Q78" s="21"/>
      <c r="R78" s="21"/>
      <c r="S78" s="21"/>
      <c r="T78" s="21"/>
      <c r="U78" s="21"/>
      <c r="V78" s="21"/>
    </row>
    <row r="79" spans="1:22" x14ac:dyDescent="0.25">
      <c r="A79" s="21"/>
      <c r="B79" s="21"/>
      <c r="C79" s="21"/>
      <c r="D79" s="21"/>
      <c r="E79" s="21"/>
      <c r="F79" s="21"/>
      <c r="G79" s="21"/>
      <c r="H79" s="104"/>
      <c r="I79" s="104"/>
      <c r="J79" s="104"/>
      <c r="K79" s="104"/>
      <c r="L79" s="104"/>
      <c r="M79" s="21"/>
      <c r="N79" s="21"/>
      <c r="O79" s="21"/>
      <c r="P79" s="21"/>
      <c r="Q79" s="21"/>
      <c r="R79" s="21"/>
      <c r="S79" s="21"/>
      <c r="T79" s="21"/>
      <c r="U79" s="21"/>
      <c r="V79" s="21"/>
    </row>
    <row r="80" spans="1:22" x14ac:dyDescent="0.25">
      <c r="A80" s="21"/>
      <c r="B80" s="21"/>
      <c r="C80" s="21"/>
      <c r="D80" s="21"/>
      <c r="E80" s="21"/>
      <c r="F80" s="21"/>
      <c r="G80" s="21"/>
      <c r="H80" s="104"/>
      <c r="I80" s="104"/>
      <c r="J80" s="104"/>
      <c r="K80" s="104"/>
      <c r="L80" s="104"/>
      <c r="M80" s="21"/>
      <c r="N80" s="21"/>
      <c r="O80" s="21"/>
      <c r="P80" s="21"/>
      <c r="Q80" s="21"/>
      <c r="R80" s="21"/>
      <c r="S80" s="21"/>
      <c r="T80" s="21"/>
      <c r="U80" s="21"/>
      <c r="V80" s="21"/>
    </row>
    <row r="81" spans="1:22" x14ac:dyDescent="0.25">
      <c r="A81" s="21"/>
      <c r="B81" s="21"/>
      <c r="C81" s="21"/>
      <c r="D81" s="21"/>
      <c r="E81" s="21"/>
      <c r="F81" s="21"/>
      <c r="G81" s="21"/>
      <c r="H81" s="104"/>
      <c r="I81" s="104"/>
      <c r="J81" s="104"/>
      <c r="K81" s="104"/>
      <c r="L81" s="104"/>
      <c r="M81" s="21"/>
      <c r="N81" s="21"/>
      <c r="O81" s="21"/>
      <c r="P81" s="21"/>
      <c r="Q81" s="21"/>
      <c r="R81" s="21"/>
      <c r="S81" s="21"/>
      <c r="T81" s="21"/>
      <c r="U81" s="21"/>
      <c r="V81" s="21"/>
    </row>
    <row r="82" spans="1:22" x14ac:dyDescent="0.25">
      <c r="A82" s="21"/>
      <c r="B82" s="21"/>
      <c r="C82" s="21"/>
      <c r="D82" s="21"/>
      <c r="E82" s="21"/>
      <c r="F82" s="21"/>
      <c r="G82" s="21"/>
      <c r="H82" s="104"/>
      <c r="I82" s="104"/>
      <c r="J82" s="104"/>
      <c r="K82" s="104"/>
      <c r="L82" s="104"/>
      <c r="M82" s="21"/>
      <c r="N82" s="21"/>
      <c r="O82" s="21"/>
      <c r="P82" s="21"/>
      <c r="Q82" s="21"/>
      <c r="R82" s="21"/>
      <c r="S82" s="21"/>
      <c r="T82" s="21"/>
      <c r="U82" s="21"/>
      <c r="V82" s="21"/>
    </row>
    <row r="83" spans="1:22" x14ac:dyDescent="0.25">
      <c r="A83" s="21"/>
      <c r="B83" s="21"/>
      <c r="C83" s="21"/>
      <c r="D83" s="21"/>
      <c r="E83" s="21"/>
      <c r="F83" s="21"/>
      <c r="G83" s="21"/>
      <c r="H83" s="104"/>
      <c r="I83" s="104"/>
      <c r="J83" s="104"/>
      <c r="K83" s="104"/>
      <c r="L83" s="104"/>
      <c r="M83" s="21"/>
      <c r="N83" s="21"/>
      <c r="O83" s="21"/>
      <c r="P83" s="21"/>
      <c r="Q83" s="21"/>
      <c r="R83" s="21"/>
      <c r="S83" s="21"/>
      <c r="T83" s="21"/>
      <c r="U83" s="21"/>
      <c r="V83" s="21"/>
    </row>
    <row r="84" spans="1:22" x14ac:dyDescent="0.25">
      <c r="A84" s="21"/>
      <c r="B84" s="21"/>
      <c r="C84" s="21"/>
      <c r="D84" s="21"/>
      <c r="E84" s="21"/>
      <c r="F84" s="21"/>
      <c r="G84" s="21"/>
      <c r="H84" s="104"/>
      <c r="I84" s="104"/>
      <c r="J84" s="104"/>
      <c r="K84" s="104"/>
      <c r="L84" s="104"/>
      <c r="M84" s="21"/>
      <c r="N84" s="21"/>
      <c r="O84" s="21"/>
      <c r="P84" s="21"/>
      <c r="Q84" s="21"/>
      <c r="R84" s="21"/>
      <c r="S84" s="21"/>
      <c r="T84" s="21"/>
      <c r="U84" s="21"/>
      <c r="V84" s="21"/>
    </row>
    <row r="85" spans="1:22" x14ac:dyDescent="0.25">
      <c r="A85" s="21"/>
      <c r="B85" s="21"/>
      <c r="C85" s="21"/>
      <c r="D85" s="21"/>
      <c r="E85" s="21"/>
      <c r="F85" s="21"/>
      <c r="G85" s="21"/>
      <c r="H85" s="104"/>
      <c r="I85" s="104"/>
      <c r="J85" s="104"/>
      <c r="K85" s="104"/>
      <c r="L85" s="104"/>
      <c r="M85" s="21"/>
      <c r="N85" s="21"/>
      <c r="O85" s="21"/>
      <c r="P85" s="21"/>
      <c r="Q85" s="21"/>
      <c r="R85" s="21"/>
      <c r="S85" s="21"/>
      <c r="T85" s="21"/>
      <c r="U85" s="21"/>
      <c r="V85" s="21"/>
    </row>
    <row r="86" spans="1:22" x14ac:dyDescent="0.25">
      <c r="A86" s="21"/>
      <c r="B86" s="21"/>
      <c r="C86" s="21"/>
      <c r="D86" s="21"/>
      <c r="E86" s="21"/>
      <c r="F86" s="21"/>
      <c r="G86" s="21"/>
      <c r="H86" s="104"/>
      <c r="I86" s="104"/>
      <c r="J86" s="104"/>
      <c r="K86" s="104"/>
      <c r="L86" s="104"/>
      <c r="M86" s="21"/>
      <c r="N86" s="21"/>
      <c r="O86" s="21"/>
      <c r="P86" s="21"/>
      <c r="Q86" s="21"/>
      <c r="R86" s="21"/>
      <c r="S86" s="21"/>
      <c r="T86" s="21"/>
      <c r="U86" s="21"/>
      <c r="V86" s="21"/>
    </row>
    <row r="87" spans="1:22" x14ac:dyDescent="0.25">
      <c r="A87" s="21"/>
      <c r="B87" s="21"/>
      <c r="C87" s="21"/>
      <c r="D87" s="21"/>
      <c r="E87" s="21"/>
      <c r="F87" s="21"/>
      <c r="G87" s="21"/>
      <c r="H87" s="104"/>
      <c r="I87" s="104"/>
      <c r="J87" s="104"/>
      <c r="K87" s="104"/>
      <c r="L87" s="104"/>
      <c r="M87" s="21"/>
      <c r="N87" s="21"/>
      <c r="O87" s="21"/>
      <c r="P87" s="21"/>
      <c r="Q87" s="21"/>
      <c r="R87" s="21"/>
      <c r="S87" s="21"/>
      <c r="T87" s="21"/>
      <c r="U87" s="21"/>
      <c r="V87" s="21"/>
    </row>
    <row r="88" spans="1:22" x14ac:dyDescent="0.25">
      <c r="A88" s="21"/>
      <c r="B88" s="21"/>
      <c r="C88" s="21"/>
      <c r="D88" s="21"/>
      <c r="E88" s="21"/>
      <c r="F88" s="21"/>
      <c r="G88" s="21"/>
      <c r="H88" s="104"/>
      <c r="I88" s="104"/>
      <c r="J88" s="104"/>
      <c r="K88" s="104"/>
      <c r="L88" s="104"/>
      <c r="M88" s="21"/>
      <c r="N88" s="21"/>
      <c r="O88" s="21"/>
      <c r="P88" s="21"/>
      <c r="Q88" s="21"/>
      <c r="R88" s="21"/>
      <c r="S88" s="21"/>
      <c r="T88" s="21"/>
      <c r="U88" s="21"/>
      <c r="V88" s="21"/>
    </row>
    <row r="89" spans="1:22" x14ac:dyDescent="0.25">
      <c r="A89" s="21"/>
      <c r="B89" s="21"/>
      <c r="C89" s="21"/>
      <c r="D89" s="21"/>
      <c r="E89" s="21"/>
      <c r="F89" s="21"/>
      <c r="G89" s="21"/>
      <c r="H89" s="104"/>
      <c r="I89" s="104"/>
      <c r="J89" s="104"/>
      <c r="K89" s="104"/>
      <c r="L89" s="104"/>
      <c r="M89" s="21"/>
      <c r="N89" s="21"/>
      <c r="O89" s="21"/>
      <c r="P89" s="21"/>
      <c r="Q89" s="21"/>
      <c r="R89" s="21"/>
      <c r="S89" s="21"/>
      <c r="T89" s="21"/>
      <c r="U89" s="21"/>
      <c r="V89" s="21"/>
    </row>
    <row r="90" spans="1:22" x14ac:dyDescent="0.25">
      <c r="A90" s="21"/>
      <c r="B90" s="21"/>
      <c r="C90" s="21"/>
      <c r="D90" s="21"/>
      <c r="E90" s="21"/>
      <c r="F90" s="21"/>
      <c r="G90" s="21"/>
      <c r="H90" s="104"/>
      <c r="I90" s="104"/>
      <c r="J90" s="104"/>
      <c r="K90" s="104"/>
      <c r="L90" s="104"/>
      <c r="M90" s="21"/>
      <c r="N90" s="21"/>
      <c r="O90" s="21"/>
      <c r="P90" s="21"/>
      <c r="Q90" s="21"/>
      <c r="R90" s="21"/>
      <c r="S90" s="21"/>
      <c r="T90" s="21"/>
      <c r="U90" s="21"/>
      <c r="V90" s="21"/>
    </row>
    <row r="91" spans="1:22" x14ac:dyDescent="0.25">
      <c r="A91" s="21"/>
      <c r="B91" s="21"/>
      <c r="C91" s="21"/>
      <c r="D91" s="21"/>
      <c r="E91" s="21"/>
      <c r="F91" s="21"/>
      <c r="G91" s="21"/>
      <c r="H91" s="21"/>
      <c r="I91" s="21"/>
      <c r="J91" s="21"/>
      <c r="K91" s="21"/>
      <c r="L91" s="21"/>
      <c r="M91" s="21"/>
      <c r="N91" s="21"/>
      <c r="O91" s="21"/>
      <c r="P91" s="21"/>
      <c r="Q91" s="21"/>
      <c r="R91" s="21"/>
      <c r="S91" s="21"/>
      <c r="T91" s="21"/>
      <c r="U91" s="21"/>
      <c r="V91" s="21"/>
    </row>
    <row r="92" spans="1:22" x14ac:dyDescent="0.25">
      <c r="A92" s="21"/>
      <c r="B92" s="21"/>
      <c r="C92" s="21"/>
      <c r="D92" s="21"/>
      <c r="E92" s="21"/>
      <c r="F92" s="21"/>
      <c r="G92" s="21"/>
      <c r="H92" s="21"/>
      <c r="I92" s="21"/>
      <c r="J92" s="21"/>
      <c r="K92" s="21"/>
      <c r="L92" s="21"/>
      <c r="M92" s="21"/>
      <c r="N92" s="21"/>
      <c r="O92" s="21"/>
      <c r="P92" s="21"/>
      <c r="Q92" s="21"/>
      <c r="R92" s="21"/>
      <c r="S92" s="21"/>
      <c r="T92" s="21"/>
      <c r="U92" s="21"/>
      <c r="V92" s="21"/>
    </row>
    <row r="93" spans="1:22" x14ac:dyDescent="0.25">
      <c r="A93" s="21"/>
      <c r="B93" s="21"/>
      <c r="C93" s="21"/>
      <c r="D93" s="21"/>
      <c r="E93" s="21"/>
      <c r="F93" s="21"/>
      <c r="G93" s="21"/>
      <c r="H93" s="21"/>
      <c r="I93" s="21"/>
      <c r="J93" s="21"/>
      <c r="K93" s="21"/>
      <c r="L93" s="21"/>
      <c r="M93" s="21"/>
      <c r="N93" s="21"/>
      <c r="O93" s="21"/>
      <c r="P93" s="21"/>
      <c r="Q93" s="21"/>
      <c r="R93" s="21"/>
      <c r="S93" s="21"/>
      <c r="T93" s="21"/>
      <c r="U93" s="21"/>
      <c r="V93" s="21"/>
    </row>
    <row r="94" spans="1:22" x14ac:dyDescent="0.25">
      <c r="A94" s="21"/>
      <c r="B94" s="21"/>
      <c r="C94" s="21"/>
      <c r="D94" s="21"/>
      <c r="E94" s="21"/>
      <c r="F94" s="21"/>
      <c r="G94" s="21"/>
      <c r="H94" s="21"/>
      <c r="I94" s="21"/>
      <c r="J94" s="21"/>
      <c r="K94" s="21"/>
      <c r="L94" s="21"/>
      <c r="M94" s="21"/>
      <c r="N94" s="21"/>
      <c r="O94" s="21"/>
      <c r="P94" s="21"/>
      <c r="Q94" s="21"/>
      <c r="R94" s="21"/>
      <c r="S94" s="21"/>
      <c r="T94" s="21"/>
      <c r="U94" s="21"/>
      <c r="V94" s="21"/>
    </row>
    <row r="95" spans="1:22" x14ac:dyDescent="0.25">
      <c r="A95" s="21"/>
      <c r="B95" s="21"/>
      <c r="C95" s="21"/>
      <c r="D95" s="21"/>
      <c r="E95" s="21"/>
      <c r="F95" s="21"/>
      <c r="G95" s="21"/>
      <c r="H95" s="21"/>
      <c r="I95" s="21"/>
      <c r="J95" s="21"/>
      <c r="K95" s="21"/>
      <c r="L95" s="21"/>
      <c r="M95" s="21"/>
      <c r="N95" s="21"/>
      <c r="O95" s="21"/>
      <c r="P95" s="21"/>
      <c r="Q95" s="21"/>
      <c r="R95" s="21"/>
      <c r="S95" s="21"/>
      <c r="T95" s="21"/>
      <c r="U95" s="21"/>
      <c r="V95" s="21"/>
    </row>
    <row r="96" spans="1:22" x14ac:dyDescent="0.25">
      <c r="A96" s="21"/>
      <c r="B96" s="21"/>
      <c r="C96" s="21"/>
      <c r="D96" s="21"/>
      <c r="E96" s="21"/>
      <c r="F96" s="21"/>
      <c r="G96" s="21"/>
      <c r="H96" s="21"/>
      <c r="I96" s="21"/>
      <c r="J96" s="21"/>
      <c r="K96" s="21"/>
      <c r="L96" s="21"/>
      <c r="M96" s="21"/>
      <c r="N96" s="21"/>
      <c r="O96" s="21"/>
      <c r="P96" s="21"/>
      <c r="Q96" s="21"/>
      <c r="R96" s="21"/>
      <c r="S96" s="21"/>
      <c r="T96" s="21"/>
      <c r="U96" s="21"/>
      <c r="V96" s="21"/>
    </row>
    <row r="97" spans="1:22" x14ac:dyDescent="0.25">
      <c r="A97" s="21"/>
      <c r="B97" s="21"/>
      <c r="C97" s="21"/>
      <c r="D97" s="21"/>
      <c r="E97" s="21"/>
      <c r="F97" s="21"/>
      <c r="G97" s="21"/>
      <c r="H97" s="21"/>
      <c r="I97" s="21"/>
      <c r="J97" s="21"/>
      <c r="K97" s="21"/>
      <c r="L97" s="21"/>
      <c r="M97" s="21"/>
      <c r="N97" s="21"/>
      <c r="O97" s="21"/>
      <c r="P97" s="21"/>
      <c r="Q97" s="21"/>
      <c r="R97" s="21"/>
      <c r="S97" s="21"/>
      <c r="T97" s="21"/>
      <c r="U97" s="21"/>
      <c r="V97" s="21"/>
    </row>
    <row r="98" spans="1:22" x14ac:dyDescent="0.25">
      <c r="A98" s="21"/>
      <c r="B98" s="21"/>
      <c r="C98" s="21"/>
      <c r="D98" s="21"/>
      <c r="E98" s="21"/>
      <c r="F98" s="21"/>
      <c r="G98" s="21"/>
      <c r="H98" s="21"/>
      <c r="I98" s="21"/>
      <c r="J98" s="21"/>
      <c r="K98" s="21"/>
      <c r="L98" s="21"/>
      <c r="M98" s="21"/>
      <c r="N98" s="21"/>
      <c r="O98" s="21"/>
      <c r="P98" s="21"/>
      <c r="Q98" s="21"/>
      <c r="R98" s="21"/>
      <c r="S98" s="21"/>
      <c r="T98" s="21"/>
      <c r="U98" s="21"/>
      <c r="V98" s="21"/>
    </row>
    <row r="99" spans="1:22" x14ac:dyDescent="0.25">
      <c r="A99" s="21"/>
      <c r="B99" s="21"/>
      <c r="C99" s="21"/>
      <c r="D99" s="21"/>
      <c r="E99" s="21"/>
      <c r="F99" s="21"/>
      <c r="G99" s="21"/>
      <c r="H99" s="21"/>
      <c r="I99" s="21"/>
      <c r="J99" s="21"/>
      <c r="K99" s="21"/>
      <c r="L99" s="21"/>
      <c r="M99" s="21"/>
      <c r="N99" s="21"/>
      <c r="O99" s="21"/>
      <c r="P99" s="21"/>
      <c r="Q99" s="21"/>
      <c r="R99" s="21"/>
      <c r="S99" s="21"/>
      <c r="T99" s="21"/>
      <c r="U99" s="21"/>
      <c r="V99" s="21"/>
    </row>
    <row r="100" spans="1:22" x14ac:dyDescent="0.25">
      <c r="A100" s="21"/>
      <c r="B100" s="21"/>
      <c r="C100" s="21"/>
      <c r="D100" s="21"/>
      <c r="E100" s="21"/>
      <c r="F100" s="21"/>
      <c r="G100" s="21"/>
      <c r="H100" s="21"/>
      <c r="I100" s="21"/>
      <c r="J100" s="21"/>
      <c r="K100" s="21"/>
      <c r="L100" s="21"/>
      <c r="M100" s="21"/>
      <c r="N100" s="21"/>
      <c r="O100" s="21"/>
      <c r="P100" s="21"/>
      <c r="Q100" s="21"/>
      <c r="R100" s="21"/>
      <c r="S100" s="21"/>
      <c r="T100" s="21"/>
      <c r="U100" s="21"/>
      <c r="V100" s="21"/>
    </row>
    <row r="101" spans="1:22" x14ac:dyDescent="0.25">
      <c r="A101" s="21"/>
      <c r="B101" s="21"/>
      <c r="C101" s="21"/>
      <c r="D101" s="21"/>
      <c r="E101" s="21"/>
      <c r="F101" s="21"/>
      <c r="G101" s="21"/>
      <c r="H101" s="21"/>
      <c r="I101" s="21"/>
      <c r="J101" s="21"/>
      <c r="K101" s="21"/>
      <c r="L101" s="21"/>
      <c r="M101" s="21"/>
      <c r="N101" s="21"/>
      <c r="O101" s="21"/>
      <c r="P101" s="21"/>
      <c r="Q101" s="21"/>
      <c r="R101" s="21"/>
      <c r="S101" s="21"/>
      <c r="T101" s="21"/>
      <c r="U101" s="21"/>
      <c r="V101" s="21"/>
    </row>
    <row r="102" spans="1:22" x14ac:dyDescent="0.25">
      <c r="A102" s="21"/>
      <c r="B102" s="21"/>
      <c r="C102" s="21"/>
      <c r="D102" s="21"/>
      <c r="E102" s="21"/>
      <c r="F102" s="21"/>
      <c r="G102" s="21"/>
      <c r="H102" s="21"/>
      <c r="I102" s="21"/>
      <c r="J102" s="21"/>
      <c r="K102" s="21"/>
      <c r="L102" s="21"/>
      <c r="M102" s="21"/>
      <c r="N102" s="21"/>
      <c r="O102" s="21"/>
      <c r="P102" s="21"/>
      <c r="Q102" s="21"/>
      <c r="R102" s="21"/>
      <c r="S102" s="21"/>
      <c r="T102" s="21"/>
      <c r="U102" s="21"/>
      <c r="V102" s="21"/>
    </row>
    <row r="103" spans="1:22" x14ac:dyDescent="0.25">
      <c r="A103" s="21"/>
      <c r="B103" s="21"/>
      <c r="C103" s="21"/>
      <c r="D103" s="21"/>
      <c r="E103" s="21"/>
      <c r="F103" s="21"/>
      <c r="G103" s="21"/>
      <c r="H103" s="21"/>
      <c r="I103" s="21"/>
      <c r="J103" s="21"/>
      <c r="K103" s="21"/>
      <c r="L103" s="21"/>
      <c r="M103" s="21"/>
      <c r="N103" s="21"/>
      <c r="O103" s="21"/>
      <c r="P103" s="21"/>
      <c r="Q103" s="21"/>
      <c r="R103" s="21"/>
      <c r="S103" s="21"/>
      <c r="T103" s="21"/>
      <c r="U103" s="21"/>
      <c r="V103" s="21"/>
    </row>
    <row r="104" spans="1:22" x14ac:dyDescent="0.25">
      <c r="A104" s="21"/>
      <c r="B104" s="21"/>
      <c r="C104" s="21"/>
      <c r="D104" s="21"/>
      <c r="E104" s="21"/>
      <c r="F104" s="21"/>
      <c r="G104" s="21"/>
      <c r="H104" s="21"/>
      <c r="I104" s="21"/>
      <c r="J104" s="21"/>
      <c r="K104" s="21"/>
      <c r="L104" s="21"/>
      <c r="M104" s="21"/>
      <c r="N104" s="21"/>
      <c r="O104" s="21"/>
      <c r="P104" s="21"/>
      <c r="Q104" s="21"/>
      <c r="R104" s="21"/>
      <c r="S104" s="21"/>
      <c r="T104" s="21"/>
      <c r="U104" s="21"/>
      <c r="V104" s="21"/>
    </row>
    <row r="105" spans="1:22" x14ac:dyDescent="0.25">
      <c r="A105" s="21"/>
      <c r="B105" s="21"/>
      <c r="C105" s="21"/>
      <c r="D105" s="21"/>
      <c r="E105" s="21"/>
      <c r="F105" s="21"/>
      <c r="G105" s="21"/>
      <c r="H105" s="21"/>
      <c r="I105" s="21"/>
      <c r="J105" s="21"/>
      <c r="K105" s="21"/>
      <c r="L105" s="21"/>
      <c r="M105" s="21"/>
      <c r="N105" s="21"/>
      <c r="O105" s="21"/>
      <c r="P105" s="21"/>
      <c r="Q105" s="21"/>
      <c r="R105" s="21"/>
      <c r="S105" s="21"/>
      <c r="T105" s="21"/>
      <c r="U105" s="21"/>
      <c r="V105" s="21"/>
    </row>
    <row r="106" spans="1:22" x14ac:dyDescent="0.25">
      <c r="A106" s="21"/>
      <c r="B106" s="21"/>
      <c r="C106" s="21"/>
      <c r="D106" s="21"/>
      <c r="E106" s="21"/>
      <c r="F106" s="21"/>
      <c r="G106" s="21"/>
      <c r="H106" s="21"/>
      <c r="I106" s="21"/>
      <c r="J106" s="21"/>
      <c r="K106" s="21"/>
      <c r="L106" s="21"/>
      <c r="M106" s="21"/>
      <c r="N106" s="21"/>
      <c r="O106" s="21"/>
      <c r="P106" s="21"/>
      <c r="Q106" s="21"/>
      <c r="R106" s="21"/>
      <c r="S106" s="21"/>
      <c r="T106" s="21"/>
      <c r="U106" s="21"/>
      <c r="V106" s="21"/>
    </row>
    <row r="107" spans="1:22" x14ac:dyDescent="0.25">
      <c r="A107" s="21"/>
      <c r="B107" s="21"/>
      <c r="C107" s="21"/>
      <c r="D107" s="21"/>
      <c r="E107" s="21"/>
      <c r="F107" s="21"/>
      <c r="G107" s="21"/>
      <c r="H107" s="21"/>
      <c r="I107" s="21"/>
      <c r="J107" s="21"/>
      <c r="K107" s="21"/>
      <c r="L107" s="21"/>
      <c r="M107" s="21"/>
      <c r="N107" s="21"/>
      <c r="O107" s="21"/>
      <c r="P107" s="21"/>
      <c r="Q107" s="21"/>
      <c r="R107" s="21"/>
      <c r="S107" s="21"/>
      <c r="T107" s="21"/>
      <c r="U107" s="21"/>
      <c r="V107" s="21"/>
    </row>
    <row r="108" spans="1:22" x14ac:dyDescent="0.25">
      <c r="A108" s="21"/>
      <c r="B108" s="21"/>
      <c r="C108" s="21"/>
      <c r="D108" s="21"/>
      <c r="E108" s="21"/>
      <c r="F108" s="21"/>
      <c r="G108" s="21"/>
      <c r="H108" s="21"/>
      <c r="I108" s="21"/>
      <c r="J108" s="21"/>
      <c r="K108" s="21"/>
      <c r="L108" s="21"/>
      <c r="M108" s="21"/>
      <c r="N108" s="21"/>
      <c r="O108" s="21"/>
      <c r="P108" s="21"/>
      <c r="Q108" s="21"/>
      <c r="R108" s="21"/>
      <c r="S108" s="21"/>
      <c r="T108" s="21"/>
      <c r="U108" s="21"/>
      <c r="V108" s="21"/>
    </row>
    <row r="109" spans="1:22" x14ac:dyDescent="0.25">
      <c r="A109" s="21"/>
      <c r="B109" s="21"/>
      <c r="C109" s="21"/>
      <c r="D109" s="21"/>
      <c r="E109" s="21"/>
      <c r="F109" s="21"/>
      <c r="G109" s="21"/>
      <c r="H109" s="21"/>
      <c r="I109" s="21"/>
      <c r="J109" s="21"/>
      <c r="K109" s="21"/>
      <c r="L109" s="21"/>
      <c r="M109" s="21"/>
      <c r="N109" s="21"/>
      <c r="O109" s="21"/>
      <c r="P109" s="21"/>
      <c r="Q109" s="21"/>
      <c r="R109" s="21"/>
      <c r="S109" s="21"/>
      <c r="T109" s="21"/>
      <c r="U109" s="21"/>
      <c r="V109" s="21"/>
    </row>
    <row r="110" spans="1:22" x14ac:dyDescent="0.25">
      <c r="A110" s="21"/>
      <c r="B110" s="21"/>
      <c r="C110" s="21"/>
      <c r="D110" s="21"/>
      <c r="E110" s="21"/>
      <c r="F110" s="21"/>
      <c r="G110" s="21"/>
      <c r="H110" s="21"/>
      <c r="I110" s="21"/>
      <c r="J110" s="21"/>
      <c r="K110" s="21"/>
      <c r="L110" s="21"/>
      <c r="M110" s="21"/>
      <c r="N110" s="21"/>
      <c r="O110" s="21"/>
      <c r="P110" s="21"/>
      <c r="Q110" s="21"/>
      <c r="R110" s="21"/>
      <c r="S110" s="21"/>
      <c r="T110" s="21"/>
      <c r="U110" s="21"/>
      <c r="V110" s="21"/>
    </row>
    <row r="111" spans="1:22" x14ac:dyDescent="0.25">
      <c r="A111" s="21"/>
      <c r="B111" s="21"/>
      <c r="C111" s="21"/>
      <c r="D111" s="21"/>
      <c r="E111" s="21"/>
      <c r="F111" s="21"/>
      <c r="G111" s="21"/>
      <c r="H111" s="21"/>
      <c r="I111" s="21"/>
      <c r="J111" s="21"/>
      <c r="K111" s="21"/>
      <c r="L111" s="21"/>
      <c r="M111" s="21"/>
      <c r="N111" s="21"/>
      <c r="O111" s="21"/>
      <c r="P111" s="21"/>
      <c r="Q111" s="21"/>
      <c r="R111" s="21"/>
      <c r="S111" s="21"/>
      <c r="T111" s="21"/>
      <c r="U111" s="21"/>
      <c r="V111" s="21"/>
    </row>
    <row r="112" spans="1:22" x14ac:dyDescent="0.25">
      <c r="A112" s="21"/>
      <c r="B112" s="21"/>
      <c r="C112" s="21"/>
      <c r="D112" s="21"/>
      <c r="E112" s="21"/>
      <c r="F112" s="21"/>
      <c r="G112" s="21"/>
      <c r="H112" s="21"/>
      <c r="I112" s="21"/>
      <c r="J112" s="21"/>
      <c r="K112" s="21"/>
      <c r="L112" s="21"/>
      <c r="M112" s="21"/>
      <c r="N112" s="21"/>
      <c r="O112" s="21"/>
      <c r="P112" s="21"/>
      <c r="Q112" s="21"/>
      <c r="R112" s="21"/>
      <c r="S112" s="21"/>
      <c r="T112" s="21"/>
      <c r="U112" s="21"/>
      <c r="V112" s="21"/>
    </row>
    <row r="113" spans="1:22" x14ac:dyDescent="0.25">
      <c r="A113" s="21"/>
      <c r="B113" s="21"/>
      <c r="C113" s="21"/>
      <c r="D113" s="21"/>
      <c r="E113" s="21"/>
      <c r="F113" s="21"/>
      <c r="G113" s="21"/>
      <c r="H113" s="21"/>
      <c r="I113" s="21"/>
      <c r="J113" s="21"/>
      <c r="K113" s="21"/>
      <c r="L113" s="21"/>
      <c r="M113" s="21"/>
      <c r="N113" s="21"/>
      <c r="O113" s="21"/>
      <c r="P113" s="21"/>
      <c r="Q113" s="21"/>
      <c r="R113" s="21"/>
      <c r="S113" s="21"/>
      <c r="T113" s="21"/>
      <c r="U113" s="21"/>
      <c r="V113" s="21"/>
    </row>
    <row r="114" spans="1:22" x14ac:dyDescent="0.25">
      <c r="A114" s="21"/>
      <c r="B114" s="21"/>
      <c r="C114" s="21"/>
      <c r="D114" s="21"/>
      <c r="E114" s="21"/>
      <c r="F114" s="21"/>
      <c r="G114" s="21"/>
      <c r="H114" s="21"/>
      <c r="I114" s="21"/>
      <c r="J114" s="21"/>
      <c r="K114" s="21"/>
      <c r="L114" s="21"/>
      <c r="M114" s="21"/>
      <c r="N114" s="21"/>
      <c r="O114" s="21"/>
      <c r="P114" s="21"/>
      <c r="Q114" s="21"/>
      <c r="R114" s="21"/>
      <c r="S114" s="21"/>
      <c r="T114" s="21"/>
      <c r="U114" s="21"/>
      <c r="V114" s="21"/>
    </row>
    <row r="115" spans="1:22" x14ac:dyDescent="0.25">
      <c r="G115" s="21"/>
      <c r="H115" s="21"/>
      <c r="I115" s="21"/>
      <c r="J115" s="21"/>
      <c r="K115" s="21"/>
      <c r="L115" s="21"/>
      <c r="M115" s="21"/>
      <c r="N115" s="21"/>
      <c r="O115" s="21"/>
      <c r="P115" s="21"/>
      <c r="Q115" s="21"/>
      <c r="R115" s="21"/>
      <c r="S115" s="21"/>
      <c r="T115" s="21"/>
      <c r="U115" s="21"/>
      <c r="V115" s="21"/>
    </row>
  </sheetData>
  <sheetProtection password="94B5" sheet="1" objects="1" scenarios="1" selectLockedCells="1"/>
  <mergeCells count="10">
    <mergeCell ref="AJ3:AJ4"/>
    <mergeCell ref="AL7:AL8"/>
    <mergeCell ref="AF7:AF8"/>
    <mergeCell ref="AF3:AF4"/>
    <mergeCell ref="B1:E1"/>
    <mergeCell ref="B2:E2"/>
    <mergeCell ref="B3:E3"/>
    <mergeCell ref="B4:E4"/>
    <mergeCell ref="B5:E5"/>
    <mergeCell ref="B6:E6"/>
  </mergeCells>
  <phoneticPr fontId="3" type="noConversion"/>
  <conditionalFormatting sqref="C51">
    <cfRule type="cellIs" dxfId="9" priority="12" stopIfTrue="1" operator="lessThan">
      <formula>0</formula>
    </cfRule>
    <cfRule type="cellIs" dxfId="8" priority="13" stopIfTrue="1" operator="greaterThan">
      <formula>1</formula>
    </cfRule>
  </conditionalFormatting>
  <conditionalFormatting sqref="C17">
    <cfRule type="expression" dxfId="7" priority="6">
      <formula>($C$17&lt;1)+($C$17&gt;9)</formula>
    </cfRule>
  </conditionalFormatting>
  <conditionalFormatting sqref="C58">
    <cfRule type="expression" dxfId="6" priority="3">
      <formula>$C$58&gt;$C$55</formula>
    </cfRule>
  </conditionalFormatting>
  <conditionalFormatting sqref="B59">
    <cfRule type="expression" dxfId="5" priority="2">
      <formula>($E$59=2)</formula>
    </cfRule>
    <cfRule type="expression" dxfId="4" priority="1">
      <formula>($E$59&lt;&gt;2)</formula>
    </cfRule>
  </conditionalFormatting>
  <pageMargins left="0.74803149606299213" right="0.74803149606299213" top="0.98425196850393704" bottom="0.98425196850393704" header="0.51181102362204722" footer="0.51181102362204722"/>
  <pageSetup paperSize="9" scale="76" orientation="portrait" r:id="rId1"/>
  <headerFooter alignWithMargins="0">
    <oddHeader>&amp;CPILP-laskin 2018. Poistoilmalämpöpumpun lämmöntalteenoton vuosihyötysuhteen laskenta 
lämpöhäviöiden tasauslaskentaa varten.&amp;R&amp;D, &amp;T</oddHeader>
    <oddFooter>&amp;C&amp;P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444" r:id="rId4" name="Scroll Bar 60">
              <controlPr defaultSize="0" autoPict="0">
                <anchor moveWithCells="1">
                  <from>
                    <xdr:col>17</xdr:col>
                    <xdr:colOff>400050</xdr:colOff>
                    <xdr:row>1</xdr:row>
                    <xdr:rowOff>133350</xdr:rowOff>
                  </from>
                  <to>
                    <xdr:col>17</xdr:col>
                    <xdr:colOff>514350</xdr:colOff>
                    <xdr:row>5</xdr:row>
                    <xdr:rowOff>69850</xdr:rowOff>
                  </to>
                </anchor>
              </controlPr>
            </control>
          </mc:Choice>
        </mc:AlternateContent>
        <mc:AlternateContent xmlns:mc="http://schemas.openxmlformats.org/markup-compatibility/2006">
          <mc:Choice Requires="x14">
            <control shapeId="16455" r:id="rId5" name="Button 71">
              <controlPr defaultSize="0" print="0" autoFill="0" autoPict="0" macro="[0]!Jäteilma">
                <anchor moveWithCells="1">
                  <from>
                    <xdr:col>3</xdr:col>
                    <xdr:colOff>203200</xdr:colOff>
                    <xdr:row>62</xdr:row>
                    <xdr:rowOff>12700</xdr:rowOff>
                  </from>
                  <to>
                    <xdr:col>3</xdr:col>
                    <xdr:colOff>774700</xdr:colOff>
                    <xdr:row>63</xdr:row>
                    <xdr:rowOff>19050</xdr:rowOff>
                  </to>
                </anchor>
              </controlPr>
            </control>
          </mc:Choice>
        </mc:AlternateContent>
        <mc:AlternateContent xmlns:mc="http://schemas.openxmlformats.org/markup-compatibility/2006">
          <mc:Choice Requires="x14">
            <control shapeId="16456" r:id="rId6" name="Drop Down 72">
              <controlPr defaultSize="0" autoLine="0" autoPict="0">
                <anchor moveWithCells="1">
                  <from>
                    <xdr:col>1</xdr:col>
                    <xdr:colOff>12700</xdr:colOff>
                    <xdr:row>47</xdr:row>
                    <xdr:rowOff>38100</xdr:rowOff>
                  </from>
                  <to>
                    <xdr:col>1</xdr:col>
                    <xdr:colOff>2876550</xdr:colOff>
                    <xdr:row>47</xdr:row>
                    <xdr:rowOff>247650</xdr:rowOff>
                  </to>
                </anchor>
              </controlPr>
            </control>
          </mc:Choice>
        </mc:AlternateContent>
        <mc:AlternateContent xmlns:mc="http://schemas.openxmlformats.org/markup-compatibility/2006">
          <mc:Choice Requires="x14">
            <control shapeId="16481" r:id="rId7" name="Drop Down 97">
              <controlPr defaultSize="0" autoLine="0" autoPict="0">
                <anchor moveWithCells="1">
                  <from>
                    <xdr:col>1</xdr:col>
                    <xdr:colOff>19050</xdr:colOff>
                    <xdr:row>47</xdr:row>
                    <xdr:rowOff>298450</xdr:rowOff>
                  </from>
                  <to>
                    <xdr:col>1</xdr:col>
                    <xdr:colOff>2876550</xdr:colOff>
                    <xdr:row>47</xdr:row>
                    <xdr:rowOff>508000</xdr:rowOff>
                  </to>
                </anchor>
              </controlPr>
            </control>
          </mc:Choice>
        </mc:AlternateContent>
        <mc:AlternateContent xmlns:mc="http://schemas.openxmlformats.org/markup-compatibility/2006">
          <mc:Choice Requires="x14">
            <control shapeId="16490" r:id="rId8" name="Button 106">
              <controlPr defaultSize="0" print="0" autoFill="0" autoPict="0" macro="[0]!Oletusarvot">
                <anchor moveWithCells="1">
                  <from>
                    <xdr:col>3</xdr:col>
                    <xdr:colOff>400050</xdr:colOff>
                    <xdr:row>17</xdr:row>
                    <xdr:rowOff>0</xdr:rowOff>
                  </from>
                  <to>
                    <xdr:col>4</xdr:col>
                    <xdr:colOff>781050</xdr:colOff>
                    <xdr:row>18</xdr:row>
                    <xdr:rowOff>19050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8" id="{D7717DDE-3D20-401A-9874-057E66522A58}">
            <xm:f>($C$42&gt;0)*('Hki-2012'!$BO$14=1)</xm:f>
            <x14:dxf>
              <font>
                <b/>
                <i val="0"/>
                <strike val="0"/>
                <color rgb="FFFF0000"/>
              </font>
            </x14:dxf>
          </x14:cfRule>
          <xm:sqref>C42</xm:sqref>
        </x14:conditionalFormatting>
        <x14:conditionalFormatting xmlns:xm="http://schemas.microsoft.com/office/excel/2006/main">
          <x14:cfRule type="expression" priority="7" id="{6D688D44-A4C4-4528-AE21-FDBEDFE51A7A}">
            <xm:f>($C$43&gt;0)*('Hki-2012'!$BO$14=1)</xm:f>
            <x14:dxf>
              <font>
                <b/>
                <i val="0"/>
                <strike val="0"/>
                <color rgb="FFFF0000"/>
              </font>
            </x14:dxf>
          </x14:cfRule>
          <xm:sqref>C43</xm:sqref>
        </x14:conditionalFormatting>
        <x14:conditionalFormatting xmlns:xm="http://schemas.microsoft.com/office/excel/2006/main">
          <x14:cfRule type="expression" priority="5" id="{E2F30DFA-33B0-4760-A82A-3AA1A94D7BD4}">
            <xm:f>('Hki-2012'!$BO$18=1)*($C$57&gt;$C$56)</xm:f>
            <x14:dxf>
              <font>
                <b/>
                <i val="0"/>
                <color rgb="FFFF0000"/>
              </font>
            </x14:dxf>
          </x14:cfRule>
          <xm:sqref>C57</xm:sqref>
        </x14:conditionalFormatting>
        <x14:conditionalFormatting xmlns:xm="http://schemas.microsoft.com/office/excel/2006/main">
          <x14:cfRule type="expression" priority="4" id="{2A9BFDA8-C3B0-4BED-AF1B-93048B8E642A}">
            <xm:f>('Hki-2012'!$BO$18=2)*($C$56&gt;$C$57)</xm:f>
            <x14:dxf>
              <font>
                <b/>
                <i val="0"/>
                <color rgb="FFFF0000"/>
              </font>
            </x14:dxf>
          </x14:cfRule>
          <xm:sqref>C56</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pageSetUpPr fitToPage="1"/>
  </sheetPr>
  <dimension ref="A1:OB104"/>
  <sheetViews>
    <sheetView zoomScale="80" zoomScaleNormal="80" workbookViewId="0"/>
  </sheetViews>
  <sheetFormatPr defaultColWidth="8.81640625" defaultRowHeight="12.5" x14ac:dyDescent="0.25"/>
  <cols>
    <col min="1" max="3" width="8.81640625" style="154" customWidth="1"/>
    <col min="4" max="4" width="11.26953125" style="154" customWidth="1"/>
    <col min="5" max="5" width="10.453125" style="154" customWidth="1"/>
    <col min="6" max="6" width="10.26953125" style="154" customWidth="1"/>
    <col min="7" max="7" width="12" style="154" customWidth="1"/>
    <col min="8" max="8" width="10" style="154" customWidth="1"/>
    <col min="9" max="16" width="8.7265625" style="154" customWidth="1"/>
    <col min="17" max="23" width="8.1796875" style="154" customWidth="1"/>
    <col min="24" max="24" width="7.7265625" style="154" customWidth="1"/>
    <col min="25" max="30" width="8" style="154" customWidth="1"/>
    <col min="31" max="33" width="7.7265625" style="154" customWidth="1"/>
    <col min="34" max="37" width="8" style="154" customWidth="1"/>
    <col min="38" max="38" width="11.81640625" style="154" customWidth="1"/>
    <col min="39" max="39" width="10.7265625" style="154" customWidth="1"/>
    <col min="40" max="40" width="10.26953125" style="154" customWidth="1"/>
    <col min="41" max="41" width="11.26953125" style="154" customWidth="1"/>
    <col min="42" max="45" width="8" style="154" customWidth="1"/>
    <col min="46" max="66" width="0.7265625" style="154" customWidth="1"/>
    <col min="67" max="69" width="15.1796875" style="154" customWidth="1"/>
    <col min="70" max="70" width="16.1796875" style="154" customWidth="1"/>
    <col min="71" max="71" width="14" style="154" customWidth="1"/>
    <col min="72" max="72" width="11.81640625" style="154" customWidth="1"/>
    <col min="73" max="73" width="10.54296875" style="154" customWidth="1"/>
    <col min="74" max="74" width="12.1796875" style="154" customWidth="1"/>
    <col min="75" max="75" width="9" style="154" customWidth="1"/>
    <col min="76" max="76" width="9.1796875" style="154" bestFit="1" customWidth="1"/>
    <col min="77" max="77" width="14" style="154" customWidth="1"/>
    <col min="78" max="78" width="8.1796875" style="154" customWidth="1"/>
    <col min="79" max="79" width="39" style="154" customWidth="1"/>
    <col min="80" max="89" width="6.7265625" style="154" customWidth="1"/>
    <col min="90" max="90" width="11.26953125" style="154" customWidth="1"/>
    <col min="91" max="91" width="9.453125" style="154" customWidth="1"/>
    <col min="92" max="93" width="9.1796875" style="154" bestFit="1" customWidth="1"/>
    <col min="94" max="94" width="16.54296875" style="154" customWidth="1"/>
    <col min="95" max="173" width="1.26953125" style="154" customWidth="1"/>
    <col min="174" max="185" width="8.26953125" style="154" customWidth="1"/>
    <col min="186" max="208" width="9.1796875" style="154" bestFit="1" customWidth="1"/>
    <col min="209" max="209" width="13.26953125" style="154" bestFit="1" customWidth="1"/>
    <col min="210" max="214" width="9.1796875" style="154" bestFit="1" customWidth="1"/>
    <col min="215" max="221" width="9" style="154" bestFit="1" customWidth="1"/>
    <col min="222" max="222" width="9.1796875" style="154" bestFit="1" customWidth="1"/>
    <col min="223" max="223" width="9" style="154" bestFit="1" customWidth="1"/>
    <col min="224" max="225" width="9.1796875" style="154" bestFit="1" customWidth="1"/>
    <col min="226" max="226" width="9.453125" style="154" bestFit="1" customWidth="1"/>
    <col min="227" max="227" width="9.1796875" style="154" bestFit="1" customWidth="1"/>
    <col min="228" max="228" width="8.81640625" style="154"/>
    <col min="229" max="260" width="9.1796875" style="154" bestFit="1" customWidth="1"/>
    <col min="261" max="262" width="9.26953125" style="154" bestFit="1" customWidth="1"/>
    <col min="263" max="268" width="9.1796875" style="154" bestFit="1" customWidth="1"/>
    <col min="269" max="275" width="9" style="154" bestFit="1" customWidth="1"/>
    <col min="276" max="276" width="9.1796875" style="154" bestFit="1" customWidth="1"/>
    <col min="277" max="277" width="9" style="154" bestFit="1" customWidth="1"/>
    <col min="278" max="281" width="9.1796875" style="154" bestFit="1" customWidth="1"/>
    <col min="282" max="282" width="8.81640625" style="154"/>
    <col min="283" max="322" width="9.1796875" style="154" bestFit="1" customWidth="1"/>
    <col min="323" max="329" width="9" style="154" bestFit="1" customWidth="1"/>
    <col min="330" max="330" width="9.1796875" style="154" bestFit="1" customWidth="1"/>
    <col min="331" max="331" width="9" style="154" bestFit="1" customWidth="1"/>
    <col min="332" max="335" width="9.1796875" style="154" bestFit="1" customWidth="1"/>
    <col min="336" max="336" width="8.81640625" style="154"/>
    <col min="337" max="346" width="9.1796875" style="154" bestFit="1" customWidth="1"/>
    <col min="347" max="347" width="13.26953125" style="154" bestFit="1" customWidth="1"/>
    <col min="348" max="375" width="9.1796875" style="154" bestFit="1" customWidth="1"/>
    <col min="376" max="382" width="9" style="154" bestFit="1" customWidth="1"/>
    <col min="383" max="383" width="9.1796875" style="154" bestFit="1" customWidth="1"/>
    <col min="384" max="384" width="9" style="154" bestFit="1" customWidth="1"/>
    <col min="385" max="388" width="9.1796875" style="154" bestFit="1" customWidth="1"/>
    <col min="389" max="16384" width="8.81640625" style="154"/>
  </cols>
  <sheetData>
    <row r="1" spans="1:388" ht="13" x14ac:dyDescent="0.3">
      <c r="A1" s="151" t="s">
        <v>169</v>
      </c>
      <c r="I1" s="155"/>
      <c r="J1" s="155"/>
      <c r="N1" s="155"/>
      <c r="O1" s="155"/>
      <c r="P1" s="155"/>
      <c r="Q1" s="155"/>
    </row>
    <row r="2" spans="1:388" ht="13.5" customHeight="1" x14ac:dyDescent="0.25">
      <c r="N2" s="156"/>
      <c r="O2" s="156"/>
      <c r="P2" s="156"/>
      <c r="Q2" s="156"/>
    </row>
    <row r="3" spans="1:388" ht="13.5" customHeight="1" x14ac:dyDescent="0.3">
      <c r="M3" s="156"/>
      <c r="N3" s="157"/>
      <c r="O3" s="157"/>
      <c r="P3" s="157"/>
      <c r="Q3" s="157"/>
      <c r="FS3" s="154" t="s">
        <v>246</v>
      </c>
      <c r="FT3" s="153">
        <f ca="1">FX3*GC3+HY3*ID3+KA3*KF3+MC3*MH3</f>
        <v>-3.4073319693561643E-4</v>
      </c>
      <c r="FX3" s="154">
        <f>(GO14=GP14)*(GO18=GP18)</f>
        <v>0</v>
      </c>
      <c r="GA3" s="157"/>
      <c r="GC3" s="157">
        <f ca="1">GA23-HB23+GD3</f>
        <v>-4.0454324334859848E-9</v>
      </c>
      <c r="GD3" s="157">
        <f>SUM(HA24:HC57)-SUM(FZ24:GB57)</f>
        <v>-1.0069925338029861E-8</v>
      </c>
      <c r="HY3" s="154">
        <f>(IQ14=IR14)*(IQ18=IR18)</f>
        <v>0</v>
      </c>
      <c r="IB3" s="157"/>
      <c r="ID3" s="157">
        <f ca="1">IB23-JD23+IE3</f>
        <v>0</v>
      </c>
      <c r="IE3" s="157">
        <f>SUM(JC24:JE57)-SUM(IA24:IC57)</f>
        <v>0</v>
      </c>
      <c r="KA3" s="154">
        <f>(KS14=KT14)*(KS18=KT18)</f>
        <v>0</v>
      </c>
      <c r="KD3" s="157"/>
      <c r="KF3" s="157">
        <f ca="1">KD23-LF23+KG3</f>
        <v>0</v>
      </c>
      <c r="KG3" s="157">
        <f>SUM(LE24:LG57)-SUM(KC24:KE57)</f>
        <v>0</v>
      </c>
      <c r="MC3" s="154">
        <f>(MT14=MU14)*(MT18=MU18)</f>
        <v>1</v>
      </c>
      <c r="MF3" s="157"/>
      <c r="MH3" s="157">
        <f ca="1">MF23-NG23+MI3</f>
        <v>-3.4073319693561643E-4</v>
      </c>
      <c r="MI3" s="154">
        <f>SUM(NF24:NH57)-SUM(ME24:MG57)</f>
        <v>-1.3024969084654003E-3</v>
      </c>
    </row>
    <row r="4" spans="1:388" ht="13.5" customHeight="1" x14ac:dyDescent="0.25">
      <c r="M4" s="156"/>
      <c r="N4" s="157"/>
      <c r="O4" s="157"/>
      <c r="P4" s="157"/>
      <c r="Q4" s="157"/>
    </row>
    <row r="5" spans="1:388" ht="13.5" customHeight="1" x14ac:dyDescent="0.3">
      <c r="M5" s="156"/>
      <c r="N5" s="157"/>
      <c r="O5" s="157"/>
      <c r="P5" s="157"/>
      <c r="Q5" s="157"/>
      <c r="BO5" s="154" t="str">
        <f>IF('Hki-2012'!BO14=2,"Lauhdutin varaajassa!","")</f>
        <v>Lauhdutin varaajassa!</v>
      </c>
      <c r="FT5" s="153">
        <f>FX5*GD5+HY5*IE5+KA5*KG5+MC5*MI5</f>
        <v>0</v>
      </c>
      <c r="JD5" s="157"/>
      <c r="LF5" s="157"/>
    </row>
    <row r="6" spans="1:388" ht="13.5" customHeight="1" x14ac:dyDescent="0.3">
      <c r="L6" s="153"/>
      <c r="M6" s="158"/>
      <c r="N6" s="159"/>
      <c r="O6" s="160"/>
      <c r="P6" s="160"/>
      <c r="Q6" s="160"/>
      <c r="BO6" s="154" t="str">
        <f>IF('Hki-2012'!BO14=1,"Lauhdutin tuloilmassa!","")</f>
        <v/>
      </c>
    </row>
    <row r="7" spans="1:388" ht="13.5" customHeight="1" x14ac:dyDescent="0.3">
      <c r="M7" s="156"/>
      <c r="N7" s="157"/>
      <c r="O7" s="157"/>
      <c r="P7" s="157"/>
      <c r="Q7" s="157"/>
      <c r="FS7" s="154" t="s">
        <v>121</v>
      </c>
      <c r="FT7" s="153">
        <v>57</v>
      </c>
    </row>
    <row r="8" spans="1:388" ht="13.5" customHeight="1" x14ac:dyDescent="0.3">
      <c r="M8" s="156"/>
      <c r="N8" s="161"/>
      <c r="O8" s="157"/>
      <c r="P8" s="157"/>
      <c r="Q8" s="157"/>
      <c r="BO8" s="162">
        <f ca="1">BO21</f>
        <v>3714.8544520547944</v>
      </c>
      <c r="BP8" s="162">
        <f t="shared" ref="BP8:BQ8" ca="1" si="0">BP21</f>
        <v>368.2363013698631</v>
      </c>
      <c r="BQ8" s="162">
        <f t="shared" ca="1" si="0"/>
        <v>0</v>
      </c>
      <c r="HD8" s="162">
        <f t="shared" ref="HD8:HR8" ca="1" si="1">HD12+JF12+LH12+NI12</f>
        <v>2197.3571502977634</v>
      </c>
      <c r="HE8" s="162">
        <f t="shared" ca="1" si="1"/>
        <v>3296.0357254466448</v>
      </c>
      <c r="HF8" s="162">
        <f t="shared" ca="1" si="1"/>
        <v>5493.3928757444082</v>
      </c>
      <c r="HG8" s="162">
        <f t="shared" ca="1" si="1"/>
        <v>83318.045233130499</v>
      </c>
      <c r="HH8" s="162">
        <f t="shared" ca="1" si="1"/>
        <v>2443.0325252160324</v>
      </c>
      <c r="HI8" s="162">
        <f t="shared" ca="1" si="1"/>
        <v>5473.2518207129679</v>
      </c>
      <c r="HJ8" s="162">
        <f t="shared" ca="1" si="1"/>
        <v>15331.627957927723</v>
      </c>
      <c r="HK8" s="162">
        <f t="shared" ca="1" si="1"/>
        <v>9838.235082183317</v>
      </c>
      <c r="HL8" s="162">
        <f t="shared" ca="1" si="1"/>
        <v>23858.318253424659</v>
      </c>
      <c r="HM8" s="162">
        <f t="shared" ca="1" si="1"/>
        <v>20464.808147896569</v>
      </c>
      <c r="HN8" s="162">
        <f t="shared" ca="1" si="1"/>
        <v>3296.0357254466448</v>
      </c>
      <c r="HO8" s="162">
        <f t="shared" ca="1" si="1"/>
        <v>2456.0987997693869</v>
      </c>
      <c r="HP8" s="162">
        <f t="shared" ca="1" si="1"/>
        <v>8805.5730000000003</v>
      </c>
      <c r="HQ8" s="162">
        <f t="shared" ca="1" si="1"/>
        <v>5752.1345252160318</v>
      </c>
      <c r="HR8" s="162">
        <f t="shared" ca="1" si="1"/>
        <v>3053.4384747839686</v>
      </c>
    </row>
    <row r="9" spans="1:388" ht="13.5" customHeight="1" x14ac:dyDescent="0.3">
      <c r="M9" s="156"/>
      <c r="N9" s="161"/>
      <c r="O9" s="157"/>
      <c r="P9" s="157"/>
      <c r="Q9" s="157"/>
      <c r="CA9" s="153" t="s">
        <v>219</v>
      </c>
      <c r="CB9" s="154" t="s">
        <v>221</v>
      </c>
      <c r="CC9" s="154" t="s">
        <v>222</v>
      </c>
      <c r="FS9" s="154" t="s">
        <v>283</v>
      </c>
      <c r="FT9" s="153">
        <v>0</v>
      </c>
    </row>
    <row r="10" spans="1:388" ht="13.5" customHeight="1" thickBot="1" x14ac:dyDescent="0.35">
      <c r="M10" s="156"/>
      <c r="N10" s="161"/>
      <c r="O10" s="157"/>
      <c r="P10" s="157"/>
      <c r="Q10" s="157"/>
      <c r="CA10" s="154" t="s">
        <v>220</v>
      </c>
      <c r="CB10" s="154">
        <f>MAX('PILP-laskin'!C19,1)</f>
        <v>24</v>
      </c>
      <c r="CC10" s="154">
        <f>MAX('PILP-laskin'!C20,1)</f>
        <v>7</v>
      </c>
      <c r="HA10" s="158" t="s">
        <v>122</v>
      </c>
      <c r="HB10" s="163">
        <f ca="1">(GP14=1)*(GP18=2)*HS19+(GP14=1)*(GP18=1)*JU19+(GP14=2)*(GP18=1)*LW19+(GP14=2)*(GP18=2)*NX19</f>
        <v>0.72107450591013367</v>
      </c>
    </row>
    <row r="11" spans="1:388" ht="13.5" customHeight="1" x14ac:dyDescent="0.3">
      <c r="H11" s="154" t="s">
        <v>340</v>
      </c>
      <c r="M11" s="156"/>
      <c r="N11" s="161"/>
      <c r="O11" s="157"/>
      <c r="P11" s="157"/>
      <c r="Q11" s="157"/>
      <c r="BO11" s="164"/>
      <c r="BP11" s="165"/>
      <c r="BQ11" s="165"/>
      <c r="BR11" s="165"/>
      <c r="BS11" s="165"/>
      <c r="BT11" s="165"/>
      <c r="BU11" s="165"/>
      <c r="BV11" s="165"/>
      <c r="BW11" s="165"/>
      <c r="BX11" s="166"/>
      <c r="CA11" s="154" t="s">
        <v>223</v>
      </c>
      <c r="CB11" s="154">
        <f>(CB10&gt;0)*(CB10&lt;3)*(CB10)+(CB10&gt;2)*(CB10&lt;24)*(CB10-2)+(CB10=24)*(CB10)</f>
        <v>24</v>
      </c>
      <c r="CC11" s="154">
        <f>CC10</f>
        <v>7</v>
      </c>
      <c r="GE11" s="153" t="s">
        <v>275</v>
      </c>
      <c r="IG11" s="153" t="s">
        <v>276</v>
      </c>
      <c r="KI11" s="153" t="s">
        <v>277</v>
      </c>
      <c r="LY11" s="153"/>
      <c r="LZ11" s="153"/>
      <c r="MA11" s="153"/>
      <c r="MB11" s="153"/>
      <c r="MC11" s="153"/>
      <c r="MD11" s="153"/>
      <c r="ME11" s="153"/>
      <c r="MF11" s="153"/>
      <c r="MG11" s="153"/>
      <c r="MH11" s="153"/>
      <c r="MI11" s="153"/>
      <c r="MJ11" s="153" t="s">
        <v>278</v>
      </c>
      <c r="MK11" s="153"/>
      <c r="ML11" s="153"/>
      <c r="MM11" s="153"/>
      <c r="MN11" s="153"/>
      <c r="MO11" s="153"/>
      <c r="MP11" s="153"/>
      <c r="MQ11" s="153"/>
      <c r="MR11" s="153"/>
      <c r="MS11" s="153"/>
      <c r="MT11" s="153"/>
      <c r="MU11" s="153"/>
      <c r="MV11" s="153"/>
      <c r="MW11" s="153"/>
      <c r="MX11" s="153"/>
      <c r="MY11" s="153"/>
      <c r="MZ11" s="153"/>
      <c r="NA11" s="153"/>
      <c r="NB11" s="153"/>
      <c r="NC11" s="153"/>
      <c r="ND11" s="153"/>
      <c r="NE11" s="153"/>
      <c r="NF11" s="153"/>
      <c r="NG11" s="153"/>
      <c r="NH11" s="153"/>
      <c r="NI11" s="153"/>
      <c r="NJ11" s="153"/>
      <c r="NK11" s="153"/>
    </row>
    <row r="12" spans="1:388" x14ac:dyDescent="0.25">
      <c r="M12" s="156"/>
      <c r="AL12" s="154" t="s">
        <v>356</v>
      </c>
      <c r="BO12" s="167"/>
      <c r="BP12" s="168">
        <f>'PILP-laskin'!$C$53</f>
        <v>0.56785714285714284</v>
      </c>
      <c r="BU12" s="154">
        <v>2</v>
      </c>
      <c r="BV12" s="154">
        <f>SUM(BV13:BV14)</f>
        <v>2</v>
      </c>
      <c r="BX12" s="169"/>
      <c r="CA12" s="154" t="s">
        <v>224</v>
      </c>
      <c r="CB12" s="154">
        <f>CB10</f>
        <v>24</v>
      </c>
      <c r="HD12" s="154">
        <f t="shared" ref="HD12:HR12" ca="1" si="2">HD21*$FX$3</f>
        <v>0</v>
      </c>
      <c r="HE12" s="154">
        <f t="shared" ca="1" si="2"/>
        <v>0</v>
      </c>
      <c r="HF12" s="154">
        <f t="shared" ca="1" si="2"/>
        <v>0</v>
      </c>
      <c r="HG12" s="154">
        <f t="shared" ca="1" si="2"/>
        <v>0</v>
      </c>
      <c r="HH12" s="154">
        <f t="shared" ca="1" si="2"/>
        <v>0</v>
      </c>
      <c r="HI12" s="154">
        <f t="shared" ca="1" si="2"/>
        <v>0</v>
      </c>
      <c r="HJ12" s="154">
        <f t="shared" ca="1" si="2"/>
        <v>0</v>
      </c>
      <c r="HK12" s="154">
        <f t="shared" ca="1" si="2"/>
        <v>0</v>
      </c>
      <c r="HL12" s="154">
        <f t="shared" ca="1" si="2"/>
        <v>0</v>
      </c>
      <c r="HM12" s="154">
        <f t="shared" ca="1" si="2"/>
        <v>0</v>
      </c>
      <c r="HN12" s="154">
        <f t="shared" ca="1" si="2"/>
        <v>0</v>
      </c>
      <c r="HO12" s="154">
        <f t="shared" ca="1" si="2"/>
        <v>0</v>
      </c>
      <c r="HP12" s="154">
        <f t="shared" ca="1" si="2"/>
        <v>0</v>
      </c>
      <c r="HQ12" s="154">
        <f t="shared" ca="1" si="2"/>
        <v>0</v>
      </c>
      <c r="HR12" s="154">
        <f t="shared" ca="1" si="2"/>
        <v>0</v>
      </c>
      <c r="JF12" s="154">
        <f t="shared" ref="JF12:JT12" ca="1" si="3">JF21*$HY$3</f>
        <v>0</v>
      </c>
      <c r="JG12" s="154">
        <f t="shared" ca="1" si="3"/>
        <v>0</v>
      </c>
      <c r="JH12" s="154">
        <f t="shared" ca="1" si="3"/>
        <v>0</v>
      </c>
      <c r="JI12" s="154">
        <f t="shared" ca="1" si="3"/>
        <v>0</v>
      </c>
      <c r="JJ12" s="154">
        <f t="shared" ca="1" si="3"/>
        <v>0</v>
      </c>
      <c r="JK12" s="154">
        <f t="shared" ca="1" si="3"/>
        <v>0</v>
      </c>
      <c r="JL12" s="154">
        <f t="shared" ca="1" si="3"/>
        <v>0</v>
      </c>
      <c r="JM12" s="154">
        <f t="shared" ca="1" si="3"/>
        <v>0</v>
      </c>
      <c r="JN12" s="154">
        <f t="shared" ca="1" si="3"/>
        <v>0</v>
      </c>
      <c r="JO12" s="154">
        <f t="shared" ca="1" si="3"/>
        <v>0</v>
      </c>
      <c r="JP12" s="154">
        <f t="shared" ca="1" si="3"/>
        <v>0</v>
      </c>
      <c r="JQ12" s="154">
        <f t="shared" ca="1" si="3"/>
        <v>0</v>
      </c>
      <c r="JR12" s="154">
        <f t="shared" ca="1" si="3"/>
        <v>0</v>
      </c>
      <c r="JS12" s="154">
        <f t="shared" ca="1" si="3"/>
        <v>0</v>
      </c>
      <c r="JT12" s="154">
        <f t="shared" ca="1" si="3"/>
        <v>0</v>
      </c>
      <c r="LH12" s="154">
        <f t="shared" ref="LH12:LV12" ca="1" si="4">LH21*$KA$3</f>
        <v>0</v>
      </c>
      <c r="LI12" s="154">
        <f t="shared" ca="1" si="4"/>
        <v>0</v>
      </c>
      <c r="LJ12" s="154">
        <f t="shared" ca="1" si="4"/>
        <v>0</v>
      </c>
      <c r="LK12" s="154">
        <f t="shared" ca="1" si="4"/>
        <v>0</v>
      </c>
      <c r="LL12" s="154">
        <f t="shared" ca="1" si="4"/>
        <v>0</v>
      </c>
      <c r="LM12" s="154">
        <f t="shared" ca="1" si="4"/>
        <v>0</v>
      </c>
      <c r="LN12" s="154">
        <f t="shared" ca="1" si="4"/>
        <v>0</v>
      </c>
      <c r="LO12" s="154">
        <f t="shared" ca="1" si="4"/>
        <v>0</v>
      </c>
      <c r="LP12" s="154">
        <f t="shared" ca="1" si="4"/>
        <v>0</v>
      </c>
      <c r="LQ12" s="154">
        <f t="shared" ca="1" si="4"/>
        <v>0</v>
      </c>
      <c r="LR12" s="154">
        <f t="shared" ca="1" si="4"/>
        <v>0</v>
      </c>
      <c r="LS12" s="154">
        <f t="shared" ca="1" si="4"/>
        <v>0</v>
      </c>
      <c r="LT12" s="154">
        <f t="shared" ca="1" si="4"/>
        <v>0</v>
      </c>
      <c r="LU12" s="154">
        <f t="shared" ca="1" si="4"/>
        <v>0</v>
      </c>
      <c r="LV12" s="154">
        <f t="shared" ca="1" si="4"/>
        <v>0</v>
      </c>
      <c r="NI12" s="154">
        <f t="shared" ref="NI12:NW12" ca="1" si="5">NI21*$MC$3</f>
        <v>2197.3571502977634</v>
      </c>
      <c r="NJ12" s="154">
        <f t="shared" ca="1" si="5"/>
        <v>3296.0357254466448</v>
      </c>
      <c r="NK12" s="154">
        <f t="shared" ca="1" si="5"/>
        <v>5493.3928757444082</v>
      </c>
      <c r="NL12" s="154">
        <f t="shared" ca="1" si="5"/>
        <v>83318.045233130499</v>
      </c>
      <c r="NM12" s="154">
        <f t="shared" ca="1" si="5"/>
        <v>2443.0325252160324</v>
      </c>
      <c r="NN12" s="154">
        <f t="shared" ca="1" si="5"/>
        <v>5473.2518207129679</v>
      </c>
      <c r="NO12" s="154">
        <f t="shared" ca="1" si="5"/>
        <v>15331.627957927723</v>
      </c>
      <c r="NP12" s="154">
        <f t="shared" ca="1" si="5"/>
        <v>9838.235082183317</v>
      </c>
      <c r="NQ12" s="154">
        <f t="shared" ca="1" si="5"/>
        <v>23858.318253424659</v>
      </c>
      <c r="NR12" s="154">
        <f t="shared" ca="1" si="5"/>
        <v>20464.808147896569</v>
      </c>
      <c r="NS12" s="154">
        <f t="shared" ca="1" si="5"/>
        <v>3296.0357254466448</v>
      </c>
      <c r="NT12" s="154">
        <f t="shared" ca="1" si="5"/>
        <v>2456.0987997693869</v>
      </c>
      <c r="NU12" s="154">
        <f t="shared" ca="1" si="5"/>
        <v>8805.5730000000003</v>
      </c>
      <c r="NV12" s="154">
        <f t="shared" ca="1" si="5"/>
        <v>5752.1345252160318</v>
      </c>
      <c r="NW12" s="154">
        <f t="shared" ca="1" si="5"/>
        <v>3053.4384747839686</v>
      </c>
    </row>
    <row r="13" spans="1:388" ht="13.5" thickBot="1" x14ac:dyDescent="0.35">
      <c r="M13" s="156"/>
      <c r="BO13" s="170"/>
      <c r="BT13" s="154" t="s">
        <v>199</v>
      </c>
      <c r="BU13" s="154">
        <v>1</v>
      </c>
      <c r="BV13" s="154">
        <f>BU13*($BU$12=1)</f>
        <v>0</v>
      </c>
      <c r="BX13" s="169"/>
      <c r="GI13" s="154">
        <v>-50</v>
      </c>
      <c r="GJ13" s="153" t="s">
        <v>234</v>
      </c>
      <c r="IK13" s="153" t="s">
        <v>234</v>
      </c>
      <c r="KM13" s="153" t="s">
        <v>234</v>
      </c>
      <c r="MO13" s="153" t="s">
        <v>234</v>
      </c>
    </row>
    <row r="14" spans="1:388" ht="15.5" x14ac:dyDescent="0.35">
      <c r="M14" s="156"/>
      <c r="S14" s="171"/>
      <c r="T14" s="172"/>
      <c r="V14" s="153"/>
      <c r="W14" s="153"/>
      <c r="AL14" s="154" t="s">
        <v>114</v>
      </c>
      <c r="AM14" s="161">
        <f>AL15*'PILP-laskin'!$C$18/8760*6325</f>
        <v>3714.8544520547944</v>
      </c>
      <c r="AN14" s="154" t="s">
        <v>217</v>
      </c>
      <c r="AO14" s="161">
        <f>AN15/8760*6325</f>
        <v>368.23630136986299</v>
      </c>
      <c r="BO14" s="170">
        <f>(BV12=1)*1+(BV12&lt;&gt;1)*2</f>
        <v>2</v>
      </c>
      <c r="BP14" s="154" t="s">
        <v>198</v>
      </c>
      <c r="BT14" s="154" t="s">
        <v>200</v>
      </c>
      <c r="BU14" s="154">
        <v>2</v>
      </c>
      <c r="BV14" s="154">
        <f>BU14*($BU$12=2)</f>
        <v>2</v>
      </c>
      <c r="BX14" s="169"/>
      <c r="FY14" s="164" t="s">
        <v>87</v>
      </c>
      <c r="FZ14" s="165"/>
      <c r="GA14" s="173">
        <f>MAX('PILP-laskin'!E14*1000,1E-50)</f>
        <v>59</v>
      </c>
      <c r="GB14" s="174" t="s">
        <v>27</v>
      </c>
      <c r="GJ14" s="154" t="s">
        <v>233</v>
      </c>
      <c r="GO14" s="154">
        <v>1</v>
      </c>
      <c r="GP14" s="154">
        <f>$BO$14</f>
        <v>2</v>
      </c>
      <c r="GQ14" s="154" t="s">
        <v>198</v>
      </c>
      <c r="IK14" s="154" t="s">
        <v>233</v>
      </c>
      <c r="IQ14" s="154">
        <v>1</v>
      </c>
      <c r="IR14" s="154">
        <f>$BO$14</f>
        <v>2</v>
      </c>
      <c r="IS14" s="154" t="s">
        <v>198</v>
      </c>
      <c r="KM14" s="154" t="s">
        <v>233</v>
      </c>
      <c r="KS14" s="154">
        <v>2</v>
      </c>
      <c r="KT14" s="154">
        <f>$BO$14</f>
        <v>2</v>
      </c>
      <c r="KU14" s="154" t="s">
        <v>198</v>
      </c>
      <c r="MF14" s="153"/>
      <c r="MG14" s="153"/>
      <c r="MO14" s="154" t="s">
        <v>233</v>
      </c>
      <c r="MT14" s="154">
        <v>2</v>
      </c>
      <c r="MU14" s="154">
        <f>$BO$14</f>
        <v>2</v>
      </c>
      <c r="MV14" s="154" t="s">
        <v>198</v>
      </c>
    </row>
    <row r="15" spans="1:388" ht="13.5" thickBot="1" x14ac:dyDescent="0.35">
      <c r="M15" s="156"/>
      <c r="AL15" s="154">
        <f>'PILP-laskin'!C42</f>
        <v>35</v>
      </c>
      <c r="AM15" s="154" t="s">
        <v>113</v>
      </c>
      <c r="AN15" s="154">
        <f>'PILP-laskin'!C43</f>
        <v>510</v>
      </c>
      <c r="AO15" s="154" t="s">
        <v>25</v>
      </c>
      <c r="BO15" s="170"/>
      <c r="BX15" s="169"/>
      <c r="FY15" s="175" t="s">
        <v>88</v>
      </c>
      <c r="FZ15" s="176"/>
      <c r="GA15" s="176">
        <f>MAX('PILP-laskin'!D14*1000,1E-50)</f>
        <v>53</v>
      </c>
      <c r="GB15" s="177" t="s">
        <v>27</v>
      </c>
      <c r="GH15" s="154" t="s">
        <v>188</v>
      </c>
      <c r="GI15" s="154" t="s">
        <v>189</v>
      </c>
      <c r="GJ15" s="154" t="s">
        <v>194</v>
      </c>
      <c r="GK15" s="154" t="s">
        <v>197</v>
      </c>
      <c r="GL15" s="154" t="s">
        <v>193</v>
      </c>
      <c r="HG15" s="157">
        <f>(GV15-HC15)</f>
        <v>0</v>
      </c>
      <c r="II15" s="154" t="s">
        <v>190</v>
      </c>
      <c r="IJ15" s="154" t="s">
        <v>189</v>
      </c>
      <c r="IK15" s="154" t="s">
        <v>194</v>
      </c>
      <c r="IL15" s="154" t="s">
        <v>197</v>
      </c>
      <c r="IM15" s="154" t="s">
        <v>193</v>
      </c>
      <c r="KK15" s="154" t="s">
        <v>190</v>
      </c>
      <c r="KL15" s="154" t="s">
        <v>189</v>
      </c>
      <c r="KM15" s="154" t="s">
        <v>194</v>
      </c>
      <c r="KN15" s="154" t="s">
        <v>197</v>
      </c>
      <c r="KO15" s="154" t="s">
        <v>193</v>
      </c>
      <c r="KP15" s="154" t="s">
        <v>362</v>
      </c>
      <c r="KZ15" s="162" t="e">
        <f t="shared" ref="KZ15" si="6">MAX(KQ15+KT15+KY15-KX15-KP15,1.2*$GA$15*($KO$17-KJ15))</f>
        <v>#VALUE!</v>
      </c>
      <c r="MM15" s="154" t="s">
        <v>188</v>
      </c>
      <c r="MN15" s="154" t="s">
        <v>189</v>
      </c>
      <c r="MO15" s="154" t="s">
        <v>194</v>
      </c>
      <c r="MP15" s="154" t="s">
        <v>197</v>
      </c>
      <c r="MQ15" s="154" t="s">
        <v>193</v>
      </c>
      <c r="MR15" s="154" t="s">
        <v>362</v>
      </c>
    </row>
    <row r="16" spans="1:388" ht="13" x14ac:dyDescent="0.3">
      <c r="A16" s="154" t="str">
        <f>Ilmanvaihto!$A$40</f>
        <v>© Ympäristöministeriö, PILP-laskin 2018 (versio maaliskuu 2017)</v>
      </c>
      <c r="M16" s="156"/>
      <c r="N16" s="168"/>
      <c r="O16" s="168"/>
      <c r="P16" s="168"/>
      <c r="Q16" s="168"/>
      <c r="AL16" s="168">
        <f>AL15/8.76</f>
        <v>3.9954337899543382</v>
      </c>
      <c r="AM16" s="154" t="s">
        <v>67</v>
      </c>
      <c r="AN16" s="168">
        <f>AN17/'PILP-laskin'!$C$18</f>
        <v>0.39604883049110057</v>
      </c>
      <c r="AO16" s="154" t="s">
        <v>67</v>
      </c>
      <c r="BI16" s="168"/>
      <c r="BJ16" s="178"/>
      <c r="BO16" s="167"/>
      <c r="BU16" s="154">
        <v>2</v>
      </c>
      <c r="BV16" s="154">
        <f>SUM(BV17:BV19)</f>
        <v>2</v>
      </c>
      <c r="BX16" s="169">
        <f>(BU16&gt;0)*(BU16&lt;3)</f>
        <v>1</v>
      </c>
      <c r="GH16" s="154" t="s">
        <v>65</v>
      </c>
      <c r="GI16" s="154" t="s">
        <v>126</v>
      </c>
      <c r="GJ16" s="154" t="s">
        <v>126</v>
      </c>
      <c r="GK16" s="154" t="s">
        <v>65</v>
      </c>
      <c r="GL16" s="154" t="s">
        <v>196</v>
      </c>
      <c r="GN16" s="157" t="e">
        <f t="shared" ref="GN16" si="7">1.2*$GA$15*(GJ16-GI16)</f>
        <v>#VALUE!</v>
      </c>
      <c r="GP16" s="179"/>
      <c r="GV16" s="162" t="e">
        <f>GM16+GP16+GU16-GT16-GL16</f>
        <v>#VALUE!</v>
      </c>
      <c r="HG16" s="157" t="e">
        <f>(GP16+GM16+GU16-GL16-GT16-HC16)</f>
        <v>#VALUE!</v>
      </c>
      <c r="HQ16" s="154" t="s">
        <v>134</v>
      </c>
      <c r="HR16" s="168">
        <f ca="1">HN21</f>
        <v>3279.5989726028392</v>
      </c>
      <c r="HS16" s="178">
        <f ca="1">HN21/HP21</f>
        <v>0.37244583317892421</v>
      </c>
      <c r="HT16" s="178"/>
      <c r="HU16" s="178"/>
      <c r="HV16" s="178"/>
      <c r="HW16" s="178"/>
      <c r="HX16" s="178"/>
      <c r="HY16" s="178"/>
      <c r="HZ16" s="178"/>
      <c r="IA16" s="178"/>
      <c r="IB16" s="178"/>
      <c r="IC16" s="178"/>
      <c r="ID16" s="178"/>
      <c r="IE16" s="178"/>
      <c r="IF16" s="178"/>
      <c r="II16" s="154" t="s">
        <v>65</v>
      </c>
      <c r="IJ16" s="154" t="s">
        <v>126</v>
      </c>
      <c r="IK16" s="154" t="s">
        <v>126</v>
      </c>
      <c r="IL16" s="154" t="s">
        <v>65</v>
      </c>
      <c r="IM16" s="154" t="s">
        <v>196</v>
      </c>
      <c r="IR16" s="179"/>
      <c r="IX16" s="162">
        <f t="shared" ref="IX16" si="8">((IT16-IV16+IP16+IW16)&gt;JO16)*(IT16-IV16+IP16+IW16)+((IT16-IV16+IP16+IW16)&lt;JO16)*JO16</f>
        <v>0</v>
      </c>
      <c r="IZ16" s="157" t="e">
        <f t="shared" ref="IZ16" si="9">MIN(1.2*$GA$14*(IG16-IM16),HW16)</f>
        <v>#VALUE!</v>
      </c>
      <c r="JS16" s="154" t="s">
        <v>134</v>
      </c>
      <c r="JT16" s="168">
        <f ca="1">JP21</f>
        <v>2706.3864814285712</v>
      </c>
      <c r="JU16" s="178">
        <f ca="1">JP21/JR21</f>
        <v>0.30734927544505863</v>
      </c>
      <c r="JW16" s="178"/>
      <c r="JX16" s="178"/>
      <c r="JY16" s="178"/>
      <c r="JZ16" s="178"/>
      <c r="KA16" s="178"/>
      <c r="KB16" s="178"/>
      <c r="KC16" s="178"/>
      <c r="KD16" s="178"/>
      <c r="KE16" s="178"/>
      <c r="KF16" s="178"/>
      <c r="KG16" s="178"/>
      <c r="KH16" s="178"/>
      <c r="KK16" s="154" t="s">
        <v>65</v>
      </c>
      <c r="KL16" s="154" t="s">
        <v>126</v>
      </c>
      <c r="KM16" s="154" t="s">
        <v>126</v>
      </c>
      <c r="KN16" s="154" t="s">
        <v>65</v>
      </c>
      <c r="KO16" s="154" t="s">
        <v>196</v>
      </c>
      <c r="KP16" s="154" t="s">
        <v>363</v>
      </c>
      <c r="KT16" s="179"/>
      <c r="KZ16" s="157">
        <f t="shared" ref="KZ16" si="10">((KV16-KX16+KR16+KY16)&gt;LQ16)*(KV16-KX16+KR16+KY16)+((KV16-KX16+KR16+KY16)&lt;LQ16)*LQ16</f>
        <v>0</v>
      </c>
      <c r="LA16" s="157">
        <f t="shared" ref="LA16" si="11">MIN(JZ16,KZ16)</f>
        <v>0</v>
      </c>
      <c r="LB16" s="157" t="e">
        <f t="shared" ref="LB16" si="12">MIN(1.2*$GA$14*(KI16-KK16),JY16)</f>
        <v>#VALUE!</v>
      </c>
      <c r="LK16" s="157" t="e">
        <f t="shared" ref="LK16" si="13">(KT16+KQ16+KY16-KP16-KX16-LG16)</f>
        <v>#VALUE!</v>
      </c>
      <c r="LU16" s="154" t="s">
        <v>134</v>
      </c>
      <c r="LV16" s="168">
        <f ca="1">LR21</f>
        <v>2706.3864814285712</v>
      </c>
      <c r="LW16" s="178">
        <f ca="1">LR21/LT21</f>
        <v>0.30734927544505863</v>
      </c>
      <c r="MM16" s="154" t="s">
        <v>65</v>
      </c>
      <c r="MN16" s="154" t="s">
        <v>126</v>
      </c>
      <c r="MO16" s="154" t="s">
        <v>126</v>
      </c>
      <c r="MP16" s="154" t="s">
        <v>65</v>
      </c>
      <c r="MQ16" s="154" t="s">
        <v>196</v>
      </c>
      <c r="MR16" s="154" t="s">
        <v>363</v>
      </c>
      <c r="MU16" s="179"/>
      <c r="NA16" s="162">
        <f t="shared" ref="NA16" si="14">((MW16-MY16+MS16+MZ16)&gt;NR16)*(MW16-MY16+MS16+MZ16)+((MW16-MY16+MS16+MZ16)&lt;NR16)*NR16</f>
        <v>0</v>
      </c>
      <c r="NB16" s="157">
        <f>MIN(MB16,NA16)</f>
        <v>0</v>
      </c>
      <c r="NC16" s="157">
        <f t="shared" ref="NC16" si="15">MIN(1.2*$GA$14*(MI16-MJ16),MA16)</f>
        <v>0</v>
      </c>
      <c r="NL16" s="157" t="e">
        <f t="shared" ref="NL16" si="16">(MU16+MR16+MZ16-MQ16-MY16-NH16)</f>
        <v>#VALUE!</v>
      </c>
      <c r="NV16" s="154" t="s">
        <v>134</v>
      </c>
      <c r="NW16" s="168">
        <f ca="1">NS21</f>
        <v>3296.0357254466448</v>
      </c>
      <c r="NX16" s="178">
        <f ca="1">NS21/NU21</f>
        <v>0.37431246387334982</v>
      </c>
    </row>
    <row r="17" spans="1:392" ht="13" x14ac:dyDescent="0.3">
      <c r="M17" s="156"/>
      <c r="N17" s="168"/>
      <c r="O17" s="168"/>
      <c r="P17" s="168"/>
      <c r="Q17" s="168"/>
      <c r="X17" s="154">
        <f>MAX((Y17-AA17),AB17)</f>
        <v>1000</v>
      </c>
      <c r="Y17" s="154">
        <f>1000</f>
        <v>1000</v>
      </c>
      <c r="AB17" s="161"/>
      <c r="AL17" s="161">
        <f>AL16*'PILP-laskin'!$C$18</f>
        <v>587.32876712328766</v>
      </c>
      <c r="AM17" s="154" t="s">
        <v>81</v>
      </c>
      <c r="AN17" s="168">
        <f>AN15/8.76</f>
        <v>58.219178082191782</v>
      </c>
      <c r="AO17" s="154" t="s">
        <v>81</v>
      </c>
      <c r="BI17" s="168"/>
      <c r="BJ17" s="178"/>
      <c r="BO17" s="170"/>
      <c r="BT17" s="154" t="s">
        <v>341</v>
      </c>
      <c r="BU17" s="154">
        <v>1</v>
      </c>
      <c r="BV17" s="154">
        <f>BU17*($BU$16=1)</f>
        <v>0</v>
      </c>
      <c r="BX17" s="169"/>
      <c r="GH17" s="180">
        <f>'PILP-laskin'!$C$57</f>
        <v>0</v>
      </c>
      <c r="GI17" s="180">
        <f>(GC21&gt;0.00001)*'PILP-laskin'!$C$56+(GC21&lt;=0.00001)*$GI$13</f>
        <v>0</v>
      </c>
      <c r="GJ17" s="180">
        <v>50</v>
      </c>
      <c r="GK17" s="180">
        <v>50</v>
      </c>
      <c r="GL17" s="180">
        <f>MIN('PILP-laskin'!$C$58,GD21)</f>
        <v>15</v>
      </c>
      <c r="GN17" s="157">
        <f>1.2*$GA$15*(GJ17-GI17)*(GH17&lt;10)</f>
        <v>3179.9999999999995</v>
      </c>
      <c r="GO17" s="157">
        <f>GM17-GL17-0*GN17</f>
        <v>-15</v>
      </c>
      <c r="GV17" s="162">
        <f t="shared" ref="GV17" si="17">((GR17-GT17+GN17+GU17)&gt;HM17)*(GR17-GT17+GN17+GU17)+((GR17-GT17+GN17+GU17)&lt;HM17)*HM17</f>
        <v>3179.9999999999995</v>
      </c>
      <c r="GX17" s="157">
        <f>MIN(1.2*$GA$14*(GD17-GE17),FV17)</f>
        <v>0</v>
      </c>
      <c r="HC17" s="153" t="str">
        <f>GE21</f>
        <v>Höyrystin poistoilmassa ennen LTO:a ja lauhdutin tuloilmassa</v>
      </c>
      <c r="HM17" s="157">
        <f>MAX(1.2*$GA$15*($GL$17-GG17)-GL17,0)</f>
        <v>938.99999999999989</v>
      </c>
      <c r="HQ17" s="154" t="s">
        <v>135</v>
      </c>
      <c r="HR17" s="168">
        <f ca="1">HP21-HQ21</f>
        <v>3062.7722684143055</v>
      </c>
      <c r="HS17" s="178">
        <f ca="1">(HP21-HQ21)/HP21</f>
        <v>0.34782202911886656</v>
      </c>
      <c r="HT17" s="178"/>
      <c r="HU17" s="178"/>
      <c r="HV17" s="178"/>
      <c r="HW17" s="178"/>
      <c r="HX17" s="178"/>
      <c r="HY17" s="178"/>
      <c r="HZ17" s="178"/>
      <c r="IA17" s="178"/>
      <c r="IB17" s="178"/>
      <c r="IC17" s="178"/>
      <c r="ID17" s="178"/>
      <c r="IE17" s="178"/>
      <c r="IF17" s="178"/>
      <c r="II17" s="180">
        <f>'PILP-laskin'!$C$57</f>
        <v>0</v>
      </c>
      <c r="IJ17" s="180">
        <f>(ID21&gt;0.00001)*'PILP-laskin'!$C$56+(ID21&lt;=0.00001)*$GI$13</f>
        <v>0</v>
      </c>
      <c r="IK17" s="180">
        <f>$GJ$17</f>
        <v>50</v>
      </c>
      <c r="IL17" s="180">
        <f>$GK$17</f>
        <v>50</v>
      </c>
      <c r="IM17" s="180">
        <f>MIN('PILP-laskin'!$C$58,IE21)</f>
        <v>15</v>
      </c>
      <c r="JE17" s="153" t="str">
        <f>IG21</f>
        <v>Höyrystin poistoilmassa LTO:n jälkeen ja lauhdutin tuloilmassa</v>
      </c>
      <c r="JS17" s="154" t="s">
        <v>135</v>
      </c>
      <c r="JT17" s="168">
        <f ca="1">JR21-JS21</f>
        <v>4991.7648728571439</v>
      </c>
      <c r="JU17" s="178">
        <f ca="1">(JR21-JS21)/JR21</f>
        <v>0.56688700131804526</v>
      </c>
      <c r="JW17" s="178"/>
      <c r="JX17" s="178"/>
      <c r="JY17" s="178"/>
      <c r="JZ17" s="178"/>
      <c r="KA17" s="178"/>
      <c r="KB17" s="178"/>
      <c r="KC17" s="178"/>
      <c r="KD17" s="178"/>
      <c r="KE17" s="178"/>
      <c r="KF17" s="178"/>
      <c r="KG17" s="178"/>
      <c r="KH17" s="178"/>
      <c r="KK17" s="180">
        <f>'PILP-laskin'!$C$57</f>
        <v>0</v>
      </c>
      <c r="KL17" s="180">
        <f>(KF21&gt;0.00001)*'PILP-laskin'!$C$56+(KF21&lt;=0.00001)*$GI$13</f>
        <v>0</v>
      </c>
      <c r="KM17" s="180">
        <f>$GJ$17</f>
        <v>50</v>
      </c>
      <c r="KN17" s="180">
        <f>$GK$17</f>
        <v>50</v>
      </c>
      <c r="KO17" s="180">
        <f>MIN('PILP-laskin'!$C$58,KG21)</f>
        <v>15</v>
      </c>
      <c r="KP17" s="153">
        <f>('PILP-laskin'!$C$59=0)*1</f>
        <v>0</v>
      </c>
      <c r="KZ17" s="162">
        <f>MAX(KQ17+KT17+KY17-KX17-KP17-$KP$17*KR17,1.2*$GA$15*($KO$17-KJ17))</f>
        <v>953.99999999999989</v>
      </c>
      <c r="LA17" s="157">
        <f>MIN(JZ17,KZ17-$KP$17*KR17)</f>
        <v>953.99999999999989</v>
      </c>
      <c r="LG17" s="153" t="str">
        <f>KI21</f>
        <v>Höyrystin poistoilmassa LTO:n jälkeen ja lauhdutin varaajassa</v>
      </c>
      <c r="LU17" s="154" t="s">
        <v>135</v>
      </c>
      <c r="LV17" s="168">
        <f ca="1">LT21-LU21</f>
        <v>4991.7648728571439</v>
      </c>
      <c r="LW17" s="178">
        <f ca="1">(LT21-LU21)/LT21</f>
        <v>0.56688700131804526</v>
      </c>
      <c r="MM17" s="180">
        <f>'PILP-laskin'!$C$57</f>
        <v>0</v>
      </c>
      <c r="MN17" s="180">
        <f>(MH21&gt;0.00001)*'PILP-laskin'!$C$56+(MH21&lt;=0.00001)*$GI$13</f>
        <v>0</v>
      </c>
      <c r="MO17" s="180">
        <f>$GJ$17</f>
        <v>50</v>
      </c>
      <c r="MP17" s="180">
        <f>$GK$17</f>
        <v>50</v>
      </c>
      <c r="MQ17" s="180">
        <f>MIN('PILP-laskin'!$C$58,MI21)</f>
        <v>15</v>
      </c>
      <c r="MR17" s="153">
        <f>('PILP-laskin'!$C$59=0)*1</f>
        <v>0</v>
      </c>
      <c r="NB17" s="157">
        <f>MIN(MB17,NA17-$MR$17*MS17)</f>
        <v>0</v>
      </c>
      <c r="NH17" s="153" t="str">
        <f>MJ21</f>
        <v>Höyrystin poistoilmassa ennen LTO:a ja lauhdutin varaajassa</v>
      </c>
      <c r="NV17" s="154" t="s">
        <v>135</v>
      </c>
      <c r="NW17" s="168">
        <f ca="1">NU21-NV21</f>
        <v>3053.4384747839686</v>
      </c>
      <c r="NX17" s="178">
        <f ca="1">(NU21-NV21)/NU21</f>
        <v>0.34676204203678379</v>
      </c>
    </row>
    <row r="18" spans="1:392" ht="13.5" thickBot="1" x14ac:dyDescent="0.35">
      <c r="B18" s="154" t="s">
        <v>47</v>
      </c>
      <c r="M18" s="156"/>
      <c r="Q18" s="181">
        <f>O18-AE18*1000/(1.2*$GA$15)</f>
        <v>0</v>
      </c>
      <c r="S18" s="182"/>
      <c r="T18" s="182"/>
      <c r="U18" s="182"/>
      <c r="W18" s="182"/>
      <c r="X18" s="154">
        <f t="shared" ref="X18" si="18">AB18</f>
        <v>0</v>
      </c>
      <c r="AL18" s="161">
        <f>AL17/($CB$10/24*$CC$10/7)</f>
        <v>587.32876712328766</v>
      </c>
      <c r="AM18" s="154" t="s">
        <v>81</v>
      </c>
      <c r="AN18" s="168">
        <f>AN17</f>
        <v>58.219178082191782</v>
      </c>
      <c r="AO18" s="154" t="s">
        <v>81</v>
      </c>
      <c r="BG18" s="183"/>
      <c r="BJ18" s="178"/>
      <c r="BO18" s="175">
        <f>(BV16=1)*1+(BV16&lt;&gt;1)*2</f>
        <v>2</v>
      </c>
      <c r="BP18" s="176" t="s">
        <v>163</v>
      </c>
      <c r="BQ18" s="176"/>
      <c r="BR18" s="176"/>
      <c r="BS18" s="176"/>
      <c r="BT18" s="176" t="s">
        <v>351</v>
      </c>
      <c r="BU18" s="176">
        <v>2</v>
      </c>
      <c r="BV18" s="176">
        <f>BU18*($BU$16=2)</f>
        <v>2</v>
      </c>
      <c r="BW18" s="176"/>
      <c r="BX18" s="177"/>
      <c r="CO18" s="155"/>
      <c r="GJ18" s="181">
        <f>MAX(GI18,$GL$17*(GG18&lt;10))</f>
        <v>15</v>
      </c>
      <c r="GO18" s="154">
        <v>2</v>
      </c>
      <c r="GP18" s="154">
        <f>$BO$18</f>
        <v>2</v>
      </c>
      <c r="GQ18" s="154" t="s">
        <v>163</v>
      </c>
      <c r="HJ18" s="157"/>
      <c r="HK18" s="157"/>
      <c r="HL18" s="157"/>
      <c r="HM18" s="157"/>
      <c r="HP18" s="183"/>
      <c r="HS18" s="178"/>
      <c r="HT18" s="178"/>
      <c r="HU18" s="178"/>
      <c r="HV18" s="178"/>
      <c r="HW18" s="178"/>
      <c r="HX18" s="178"/>
      <c r="HY18" s="178"/>
      <c r="HZ18" s="178"/>
      <c r="IA18" s="178"/>
      <c r="IB18" s="178"/>
      <c r="IC18" s="178"/>
      <c r="ID18" s="178"/>
      <c r="IE18" s="178"/>
      <c r="IF18" s="178"/>
      <c r="IQ18" s="154">
        <v>1</v>
      </c>
      <c r="IR18" s="154">
        <f>$BO$18</f>
        <v>2</v>
      </c>
      <c r="IS18" s="154" t="s">
        <v>163</v>
      </c>
      <c r="JL18" s="157"/>
      <c r="JM18" s="157"/>
      <c r="JN18" s="157"/>
      <c r="JO18" s="157"/>
      <c r="JR18" s="183"/>
      <c r="JU18" s="178"/>
      <c r="JW18" s="178"/>
      <c r="JX18" s="178"/>
      <c r="JY18" s="178"/>
      <c r="JZ18" s="178"/>
      <c r="KA18" s="178"/>
      <c r="KB18" s="178"/>
      <c r="KC18" s="178"/>
      <c r="KD18" s="178"/>
      <c r="KE18" s="178"/>
      <c r="KF18" s="178"/>
      <c r="KG18" s="178"/>
      <c r="KH18" s="178"/>
      <c r="KQ18" s="157" t="e">
        <f>1.2*$GA$14*(KG18-B18)-$KP$17*KR18</f>
        <v>#VALUE!</v>
      </c>
      <c r="KS18" s="154">
        <v>1</v>
      </c>
      <c r="KT18" s="154">
        <f>$BO$18</f>
        <v>2</v>
      </c>
      <c r="KU18" s="154" t="s">
        <v>163</v>
      </c>
      <c r="LN18" s="157"/>
      <c r="LO18" s="157"/>
      <c r="LP18" s="157"/>
      <c r="LQ18" s="157"/>
      <c r="LT18" s="183"/>
      <c r="LW18" s="178"/>
      <c r="MM18" s="180">
        <f>'PILP-laskin'!$C$57</f>
        <v>0</v>
      </c>
      <c r="MN18" s="180">
        <f>'PILP-laskin'!$C$56</f>
        <v>0</v>
      </c>
      <c r="MT18" s="154">
        <v>2</v>
      </c>
      <c r="MU18" s="154">
        <f>$BO$18</f>
        <v>2</v>
      </c>
      <c r="MV18" s="154" t="s">
        <v>163</v>
      </c>
      <c r="NO18" s="157"/>
      <c r="NP18" s="157"/>
      <c r="NQ18" s="157"/>
      <c r="NR18" s="157"/>
      <c r="NU18" s="183"/>
      <c r="NX18" s="178"/>
    </row>
    <row r="19" spans="1:392" ht="13" x14ac:dyDescent="0.3">
      <c r="B19" s="156"/>
      <c r="C19" s="181">
        <f>5.3-3</f>
        <v>2.2999999999999998</v>
      </c>
      <c r="K19" s="184"/>
      <c r="V19" s="181"/>
      <c r="X19" s="154">
        <f>Y19-AA19</f>
        <v>0</v>
      </c>
      <c r="Y19" s="185"/>
      <c r="Z19" s="185"/>
      <c r="AB19" s="153"/>
      <c r="AJ19" s="153"/>
      <c r="AN19" s="154">
        <f>'PILP-laskin'!C22</f>
        <v>0</v>
      </c>
      <c r="AO19" s="154" t="s">
        <v>81</v>
      </c>
      <c r="AP19" s="153"/>
      <c r="AW19" s="180"/>
      <c r="BG19" s="183"/>
      <c r="BJ19" s="186"/>
      <c r="BK19" s="153"/>
      <c r="BO19" s="154" t="str">
        <f>"BO"&amp;$FT$7</f>
        <v>BO57</v>
      </c>
      <c r="BP19" s="154" t="str">
        <f>"BP"&amp;$FT$7</f>
        <v>BP57</v>
      </c>
      <c r="BQ19" s="154" t="str">
        <f>"BQ"&amp;$FT$7</f>
        <v>BQ57</v>
      </c>
      <c r="CA19" s="187" t="s">
        <v>165</v>
      </c>
      <c r="CN19" s="154" t="str">
        <f>"CN"&amp;$FT$7</f>
        <v>CN57</v>
      </c>
      <c r="CO19" s="153"/>
      <c r="FT19" s="153" t="s">
        <v>257</v>
      </c>
      <c r="FU19" s="153"/>
      <c r="FV19" s="153"/>
      <c r="FW19" s="153"/>
      <c r="FZ19" s="154" t="s">
        <v>258</v>
      </c>
      <c r="GO19" s="157">
        <f>GM19-GL19-GN19</f>
        <v>0</v>
      </c>
      <c r="GP19" s="154" t="s">
        <v>274</v>
      </c>
      <c r="GQ19" s="154" t="s">
        <v>274</v>
      </c>
      <c r="GU19" s="154" t="s">
        <v>274</v>
      </c>
      <c r="GV19" s="154" t="str">
        <f>"GV"&amp;$FT$7</f>
        <v>GV57</v>
      </c>
      <c r="HD19" s="154" t="str">
        <f>"HD"&amp;$FT$7</f>
        <v>HD57</v>
      </c>
      <c r="HE19" s="154" t="str">
        <f>"HE"&amp;$FT$7</f>
        <v>HE57</v>
      </c>
      <c r="HF19" s="154" t="str">
        <f>"HF"&amp;$FT$7</f>
        <v>HF57</v>
      </c>
      <c r="HG19" s="154" t="str">
        <f>"HG"&amp;$FT$7</f>
        <v>HG57</v>
      </c>
      <c r="HH19" s="154" t="str">
        <f>"HH"&amp;$FT$7</f>
        <v>HH57</v>
      </c>
      <c r="HI19" s="154" t="str">
        <f>"HI"&amp;$FT$7</f>
        <v>HI57</v>
      </c>
      <c r="HJ19" s="154" t="str">
        <f>"HJ"&amp;$FT$7</f>
        <v>HJ57</v>
      </c>
      <c r="HK19" s="154" t="str">
        <f>"HK"&amp;$FT$7</f>
        <v>HK57</v>
      </c>
      <c r="HL19" s="154" t="str">
        <f>"HL"&amp;$FT$7</f>
        <v>HL57</v>
      </c>
      <c r="HM19" s="154" t="str">
        <f>"HM"&amp;$FT$7</f>
        <v>HM57</v>
      </c>
      <c r="HN19" s="154" t="str">
        <f>"HN"&amp;$FT$7</f>
        <v>HN57</v>
      </c>
      <c r="HO19" s="154" t="str">
        <f>"HO"&amp;$FT$7</f>
        <v>HO57</v>
      </c>
      <c r="HP19" s="154" t="str">
        <f>"HP"&amp;$FT$7</f>
        <v>HP57</v>
      </c>
      <c r="HQ19" s="154" t="str">
        <f>"HQ"&amp;$FT$7</f>
        <v>HQ57</v>
      </c>
      <c r="HR19" s="154" t="str">
        <f>"HR"&amp;$FT$7</f>
        <v>HR57</v>
      </c>
      <c r="HS19" s="186">
        <f ca="1">(HN21+HP21-HQ21)/HP21</f>
        <v>0.72026786229779072</v>
      </c>
      <c r="HT19" s="186"/>
      <c r="HU19" s="153" t="s">
        <v>257</v>
      </c>
      <c r="HV19" s="153"/>
      <c r="HW19" s="153"/>
      <c r="HX19" s="153"/>
      <c r="IA19" s="154" t="s">
        <v>258</v>
      </c>
      <c r="IF19" s="186"/>
      <c r="IG19" s="153"/>
      <c r="IX19" s="154" t="str">
        <f>"IX"&amp;$FT$7</f>
        <v>IX57</v>
      </c>
      <c r="JF19" s="154" t="str">
        <f>"JF"&amp;$FT$7</f>
        <v>JF57</v>
      </c>
      <c r="JG19" s="154" t="str">
        <f>"JG"&amp;$FT$7</f>
        <v>JG57</v>
      </c>
      <c r="JH19" s="154" t="str">
        <f>"JH"&amp;$FT$7</f>
        <v>JH57</v>
      </c>
      <c r="JI19" s="154" t="str">
        <f>"JI"&amp;$FT$7</f>
        <v>JI57</v>
      </c>
      <c r="JJ19" s="154" t="str">
        <f>"JJ"&amp;$FT$7</f>
        <v>JJ57</v>
      </c>
      <c r="JK19" s="154" t="str">
        <f>"JK"&amp;$FT$7</f>
        <v>JK57</v>
      </c>
      <c r="JL19" s="154" t="str">
        <f>"JL"&amp;$FT$7</f>
        <v>JL57</v>
      </c>
      <c r="JM19" s="154" t="str">
        <f>"JM"&amp;$FT$7</f>
        <v>JM57</v>
      </c>
      <c r="JN19" s="154" t="str">
        <f>"JN"&amp;$FT$7</f>
        <v>JN57</v>
      </c>
      <c r="JO19" s="154" t="str">
        <f>"JO"&amp;$FT$7</f>
        <v>JO57</v>
      </c>
      <c r="JP19" s="154" t="str">
        <f>"JP"&amp;$FT$7</f>
        <v>JP57</v>
      </c>
      <c r="JQ19" s="154" t="str">
        <f>"JQ"&amp;$FT$7</f>
        <v>JQ57</v>
      </c>
      <c r="JR19" s="154" t="str">
        <f>"JR"&amp;$FT$7</f>
        <v>JR57</v>
      </c>
      <c r="JS19" s="154" t="str">
        <f>"JS"&amp;$FT$7</f>
        <v>JS57</v>
      </c>
      <c r="JT19" s="154" t="str">
        <f>"JT"&amp;$FT$7</f>
        <v>JT57</v>
      </c>
      <c r="JU19" s="186">
        <f ca="1">(JP21+JR21-JS21)/JR21</f>
        <v>0.87423627676310389</v>
      </c>
      <c r="JV19" s="188"/>
      <c r="JW19" s="153" t="s">
        <v>257</v>
      </c>
      <c r="JX19" s="153"/>
      <c r="JY19" s="153"/>
      <c r="JZ19" s="153"/>
      <c r="KC19" s="154" t="s">
        <v>258</v>
      </c>
      <c r="KH19" s="186"/>
      <c r="KI19" s="153"/>
      <c r="KK19" s="181">
        <f>MAX(KH24,KK17)</f>
        <v>0</v>
      </c>
      <c r="KQ19" s="157">
        <f t="shared" ref="KQ19" si="19">1.2*$GA$14*(KG19-B19)</f>
        <v>0</v>
      </c>
      <c r="KZ19" s="154" t="str">
        <f>"KZ"&amp;$FT$7</f>
        <v>KZ57</v>
      </c>
      <c r="LH19" s="154" t="str">
        <f>"LH"&amp;$FT$7</f>
        <v>LH57</v>
      </c>
      <c r="LI19" s="154" t="str">
        <f>"LI"&amp;$FT$7</f>
        <v>LI57</v>
      </c>
      <c r="LJ19" s="154" t="str">
        <f>"LJ"&amp;$FT$7</f>
        <v>LJ57</v>
      </c>
      <c r="LK19" s="154" t="str">
        <f>"LK"&amp;$FT$7</f>
        <v>LK57</v>
      </c>
      <c r="LL19" s="154" t="str">
        <f>"LL"&amp;$FT$7</f>
        <v>LL57</v>
      </c>
      <c r="LM19" s="154" t="str">
        <f>"LM"&amp;$FT$7</f>
        <v>LM57</v>
      </c>
      <c r="LN19" s="154" t="str">
        <f>"LN"&amp;$FT$7</f>
        <v>LN57</v>
      </c>
      <c r="LO19" s="154" t="str">
        <f>"LO"&amp;$FT$7</f>
        <v>LO57</v>
      </c>
      <c r="LP19" s="154" t="str">
        <f>"LP"&amp;$FT$7</f>
        <v>LP57</v>
      </c>
      <c r="LQ19" s="154" t="str">
        <f>"LQ"&amp;$FT$7</f>
        <v>LQ57</v>
      </c>
      <c r="LR19" s="154" t="str">
        <f>"LR"&amp;$FT$7</f>
        <v>LR57</v>
      </c>
      <c r="LS19" s="154" t="str">
        <f>"LS"&amp;$FT$7</f>
        <v>LS57</v>
      </c>
      <c r="LT19" s="154" t="str">
        <f>"LT"&amp;$FT$7</f>
        <v>LT57</v>
      </c>
      <c r="LU19" s="154" t="str">
        <f>"LU"&amp;$FT$7</f>
        <v>LU57</v>
      </c>
      <c r="LV19" s="154" t="str">
        <f>"LV"&amp;$FT$7</f>
        <v>LV57</v>
      </c>
      <c r="LW19" s="186">
        <f ca="1">(LR21+LT21-LU21)/LT21</f>
        <v>0.87423627676310389</v>
      </c>
      <c r="LY19" s="153" t="s">
        <v>257</v>
      </c>
      <c r="LZ19" s="154" t="str">
        <f>"LZ"&amp;$FT$7</f>
        <v>LZ57</v>
      </c>
      <c r="MA19" s="153"/>
      <c r="MB19" s="153"/>
      <c r="ME19" s="154" t="s">
        <v>258</v>
      </c>
      <c r="MJ19" s="153"/>
      <c r="NA19" s="154" t="str">
        <f>"NA"&amp;$FT$7</f>
        <v>NA57</v>
      </c>
      <c r="NI19" s="154" t="str">
        <f>"NI"&amp;$FT$7</f>
        <v>NI57</v>
      </c>
      <c r="NJ19" s="154" t="str">
        <f>"NJ"&amp;$FT$7</f>
        <v>NJ57</v>
      </c>
      <c r="NK19" s="154" t="str">
        <f>"NK"&amp;$FT$7</f>
        <v>NK57</v>
      </c>
      <c r="NL19" s="154" t="str">
        <f>"NL"&amp;$FT$7</f>
        <v>NL57</v>
      </c>
      <c r="NM19" s="154" t="str">
        <f>"NM"&amp;$FT$7</f>
        <v>NM57</v>
      </c>
      <c r="NN19" s="154" t="str">
        <f>"NN"&amp;$FT$7</f>
        <v>NN57</v>
      </c>
      <c r="NO19" s="154" t="str">
        <f>"NO"&amp;$FT$7</f>
        <v>NO57</v>
      </c>
      <c r="NP19" s="154" t="str">
        <f>"NP"&amp;$FT$7</f>
        <v>NP57</v>
      </c>
      <c r="NQ19" s="154" t="str">
        <f>"NQ"&amp;$FT$7</f>
        <v>NQ57</v>
      </c>
      <c r="NR19" s="154" t="str">
        <f>"NR"&amp;$FT$7</f>
        <v>NR57</v>
      </c>
      <c r="NS19" s="154" t="str">
        <f>"NS"&amp;$FT$7</f>
        <v>NS57</v>
      </c>
      <c r="NT19" s="154" t="str">
        <f>"NT"&amp;$FT$7</f>
        <v>NT57</v>
      </c>
      <c r="NU19" s="154" t="str">
        <f>"NU"&amp;$FT$7</f>
        <v>NU57</v>
      </c>
      <c r="NV19" s="154" t="str">
        <f>"NV"&amp;$FT$7</f>
        <v>NV57</v>
      </c>
      <c r="NW19" s="154" t="str">
        <f>"NW"&amp;$FT$7</f>
        <v>NW57</v>
      </c>
      <c r="NX19" s="186">
        <f ca="1">(NS21+NU21-NV21)/NU21</f>
        <v>0.72107450591013367</v>
      </c>
    </row>
    <row r="20" spans="1:392" ht="135.75" customHeight="1" x14ac:dyDescent="0.3">
      <c r="F20" s="189" t="s">
        <v>105</v>
      </c>
      <c r="H20" s="189" t="s">
        <v>105</v>
      </c>
      <c r="J20" s="190" t="s">
        <v>279</v>
      </c>
      <c r="K20" s="191" t="s">
        <v>229</v>
      </c>
      <c r="L20" s="191" t="s">
        <v>228</v>
      </c>
      <c r="M20" s="191" t="s">
        <v>227</v>
      </c>
      <c r="N20" s="191" t="s">
        <v>230</v>
      </c>
      <c r="O20" s="191" t="s">
        <v>231</v>
      </c>
      <c r="P20" s="191" t="s">
        <v>232</v>
      </c>
      <c r="Q20" s="191" t="s">
        <v>308</v>
      </c>
      <c r="R20" s="192" t="s">
        <v>344</v>
      </c>
      <c r="S20" s="193" t="s">
        <v>306</v>
      </c>
      <c r="T20" s="190" t="s">
        <v>302</v>
      </c>
      <c r="U20" s="190" t="s">
        <v>307</v>
      </c>
      <c r="V20" s="190" t="s">
        <v>241</v>
      </c>
      <c r="W20" s="190" t="s">
        <v>331</v>
      </c>
      <c r="X20" s="193" t="s">
        <v>306</v>
      </c>
      <c r="Y20" s="193" t="s">
        <v>305</v>
      </c>
      <c r="Z20" s="193" t="s">
        <v>301</v>
      </c>
      <c r="AA20" s="192" t="s">
        <v>243</v>
      </c>
      <c r="AB20" s="191" t="s">
        <v>303</v>
      </c>
      <c r="AC20" s="190" t="s">
        <v>304</v>
      </c>
      <c r="AD20" s="192" t="s">
        <v>345</v>
      </c>
      <c r="AE20" s="192" t="s">
        <v>346</v>
      </c>
      <c r="AF20" s="192" t="s">
        <v>347</v>
      </c>
      <c r="AG20" s="190" t="s">
        <v>316</v>
      </c>
      <c r="AH20" s="190" t="s">
        <v>317</v>
      </c>
      <c r="AI20" s="190" t="s">
        <v>329</v>
      </c>
      <c r="AJ20" s="190" t="s">
        <v>325</v>
      </c>
      <c r="AK20" s="190" t="s">
        <v>330</v>
      </c>
      <c r="AL20" s="190" t="s">
        <v>117</v>
      </c>
      <c r="AM20" s="190" t="s">
        <v>218</v>
      </c>
      <c r="AN20" s="190" t="s">
        <v>161</v>
      </c>
      <c r="AO20" s="194"/>
      <c r="AP20" s="190" t="s">
        <v>353</v>
      </c>
      <c r="AQ20" s="190" t="s">
        <v>354</v>
      </c>
      <c r="AR20" s="190" t="s">
        <v>335</v>
      </c>
      <c r="AS20" s="190"/>
      <c r="AT20" s="190"/>
      <c r="AU20" s="190"/>
      <c r="AV20" s="190"/>
      <c r="AW20" s="192"/>
      <c r="AX20" s="190"/>
      <c r="AY20" s="190"/>
      <c r="AZ20" s="190"/>
      <c r="BA20" s="190"/>
      <c r="BB20" s="190"/>
      <c r="BC20" s="190"/>
      <c r="BD20" s="190"/>
      <c r="BE20" s="192"/>
      <c r="BF20" s="190"/>
      <c r="BG20" s="190"/>
      <c r="BH20" s="190"/>
      <c r="BI20" s="190"/>
      <c r="BJ20" s="194"/>
      <c r="BK20" s="190"/>
      <c r="BL20" s="194"/>
      <c r="BM20" s="194"/>
      <c r="BO20" s="190" t="s">
        <v>286</v>
      </c>
      <c r="BP20" s="190" t="s">
        <v>287</v>
      </c>
      <c r="BQ20" s="190" t="s">
        <v>288</v>
      </c>
      <c r="BR20" s="192"/>
      <c r="BS20" s="192"/>
      <c r="BT20" s="195"/>
      <c r="BU20" s="192"/>
      <c r="BV20" s="192"/>
      <c r="BW20" s="196"/>
      <c r="BX20" s="192"/>
      <c r="BY20" s="190"/>
      <c r="BZ20" s="190"/>
      <c r="CA20" s="156" t="s">
        <v>153</v>
      </c>
      <c r="CB20" s="154">
        <f>'PILP-laskin'!$D$30*'PILP-laskin'!$E$30</f>
        <v>0.36</v>
      </c>
      <c r="CC20" s="154">
        <f>'PILP-laskin'!$D$31*'PILP-laskin'!$E$31</f>
        <v>0</v>
      </c>
      <c r="CD20" s="154">
        <f>'PILP-laskin'!$D$32*'PILP-laskin'!$E$32</f>
        <v>0.3115</v>
      </c>
      <c r="CE20" s="154">
        <f>'PILP-laskin'!$D$33*'PILP-laskin'!$E$33</f>
        <v>0</v>
      </c>
      <c r="CF20" s="154">
        <f>'PILP-laskin'!$D$34*'PILP-laskin'!$E$34</f>
        <v>0.28499999999999998</v>
      </c>
      <c r="CG20" s="154">
        <f>'PILP-laskin'!$D$35*'PILP-laskin'!$E$35</f>
        <v>0</v>
      </c>
      <c r="CH20" s="154">
        <f>'PILP-laskin'!$D$36*'PILP-laskin'!$E$36</f>
        <v>0.3115</v>
      </c>
      <c r="CI20" s="154">
        <f>'PILP-laskin'!$D$37*'PILP-laskin'!$E$37</f>
        <v>0</v>
      </c>
      <c r="CN20" s="194" t="s">
        <v>203</v>
      </c>
      <c r="CO20" s="190" t="s">
        <v>110</v>
      </c>
      <c r="FT20" s="195" t="s">
        <v>84</v>
      </c>
      <c r="FU20" s="192" t="s">
        <v>93</v>
      </c>
      <c r="FV20" s="192" t="s">
        <v>94</v>
      </c>
      <c r="FW20" s="192" t="s">
        <v>191</v>
      </c>
      <c r="FY20" s="195" t="s">
        <v>84</v>
      </c>
      <c r="FZ20" s="192" t="s">
        <v>270</v>
      </c>
      <c r="GA20" s="192" t="s">
        <v>271</v>
      </c>
      <c r="GB20" s="192" t="s">
        <v>272</v>
      </c>
      <c r="GC20" s="190" t="s">
        <v>259</v>
      </c>
      <c r="GD20" s="190" t="s">
        <v>279</v>
      </c>
      <c r="GE20" s="191" t="s">
        <v>229</v>
      </c>
      <c r="GF20" s="191" t="s">
        <v>228</v>
      </c>
      <c r="GG20" s="191" t="s">
        <v>227</v>
      </c>
      <c r="GH20" s="191" t="s">
        <v>230</v>
      </c>
      <c r="GI20" s="191" t="s">
        <v>231</v>
      </c>
      <c r="GJ20" s="191" t="s">
        <v>232</v>
      </c>
      <c r="GK20" s="197" t="s">
        <v>284</v>
      </c>
      <c r="GL20" s="192" t="s">
        <v>239</v>
      </c>
      <c r="GM20" s="192" t="s">
        <v>240</v>
      </c>
      <c r="GN20" s="192" t="s">
        <v>241</v>
      </c>
      <c r="GO20" s="192" t="s">
        <v>242</v>
      </c>
      <c r="GP20" s="189" t="s">
        <v>105</v>
      </c>
      <c r="GQ20" s="192" t="s">
        <v>244</v>
      </c>
      <c r="GR20" s="190" t="s">
        <v>111</v>
      </c>
      <c r="GS20" s="190" t="s">
        <v>367</v>
      </c>
      <c r="GT20" s="192" t="s">
        <v>243</v>
      </c>
      <c r="GU20" s="198" t="s">
        <v>273</v>
      </c>
      <c r="GV20" s="153" t="s">
        <v>245</v>
      </c>
      <c r="GW20" s="192" t="s">
        <v>248</v>
      </c>
      <c r="GX20" s="192" t="s">
        <v>249</v>
      </c>
      <c r="GY20" s="199" t="s">
        <v>250</v>
      </c>
      <c r="GZ20" s="199" t="s">
        <v>251</v>
      </c>
      <c r="HA20" s="192" t="s">
        <v>235</v>
      </c>
      <c r="HB20" s="192" t="s">
        <v>236</v>
      </c>
      <c r="HC20" s="192" t="s">
        <v>237</v>
      </c>
      <c r="HD20" s="192" t="s">
        <v>253</v>
      </c>
      <c r="HE20" s="190" t="s">
        <v>255</v>
      </c>
      <c r="HF20" s="190" t="s">
        <v>254</v>
      </c>
      <c r="HG20" s="190" t="s">
        <v>343</v>
      </c>
      <c r="HH20" s="192" t="s">
        <v>282</v>
      </c>
      <c r="HI20" s="192" t="s">
        <v>243</v>
      </c>
      <c r="HJ20" s="154" t="s">
        <v>245</v>
      </c>
      <c r="HK20" s="190" t="s">
        <v>343</v>
      </c>
      <c r="HL20" s="193" t="s">
        <v>305</v>
      </c>
      <c r="HM20" s="190" t="s">
        <v>342</v>
      </c>
      <c r="HN20" s="190" t="s">
        <v>118</v>
      </c>
      <c r="HO20" s="190"/>
      <c r="HP20" s="190" t="s">
        <v>108</v>
      </c>
      <c r="HQ20" s="190" t="s">
        <v>109</v>
      </c>
      <c r="HR20" s="194" t="s">
        <v>126</v>
      </c>
      <c r="HU20" s="195" t="s">
        <v>84</v>
      </c>
      <c r="HV20" s="192" t="s">
        <v>93</v>
      </c>
      <c r="HW20" s="192" t="s">
        <v>94</v>
      </c>
      <c r="HX20" s="192" t="s">
        <v>191</v>
      </c>
      <c r="HZ20" s="195" t="s">
        <v>84</v>
      </c>
      <c r="IA20" s="192" t="s">
        <v>93</v>
      </c>
      <c r="IB20" s="192" t="s">
        <v>94</v>
      </c>
      <c r="IC20" s="192" t="s">
        <v>191</v>
      </c>
      <c r="ID20" s="190" t="s">
        <v>259</v>
      </c>
      <c r="IE20" s="190" t="s">
        <v>260</v>
      </c>
      <c r="IF20" s="191" t="s">
        <v>227</v>
      </c>
      <c r="IG20" s="191" t="s">
        <v>228</v>
      </c>
      <c r="IH20" s="191" t="s">
        <v>230</v>
      </c>
      <c r="II20" s="191" t="s">
        <v>261</v>
      </c>
      <c r="IJ20" s="191" t="s">
        <v>231</v>
      </c>
      <c r="IK20" s="191" t="s">
        <v>232</v>
      </c>
      <c r="IN20" s="192" t="s">
        <v>239</v>
      </c>
      <c r="IO20" s="192" t="s">
        <v>240</v>
      </c>
      <c r="IP20" s="192" t="s">
        <v>241</v>
      </c>
      <c r="IQ20" s="192" t="s">
        <v>242</v>
      </c>
      <c r="IR20" s="189" t="s">
        <v>105</v>
      </c>
      <c r="IS20" s="192" t="s">
        <v>244</v>
      </c>
      <c r="IT20" s="190" t="s">
        <v>111</v>
      </c>
      <c r="IU20" s="190" t="s">
        <v>367</v>
      </c>
      <c r="IV20" s="192" t="s">
        <v>243</v>
      </c>
      <c r="IW20" s="198" t="s">
        <v>273</v>
      </c>
      <c r="IX20" s="153" t="s">
        <v>245</v>
      </c>
      <c r="IY20" s="192" t="s">
        <v>248</v>
      </c>
      <c r="IZ20" s="192" t="s">
        <v>249</v>
      </c>
      <c r="JA20" s="199" t="s">
        <v>250</v>
      </c>
      <c r="JB20" s="199" t="s">
        <v>251</v>
      </c>
      <c r="JC20" s="192" t="s">
        <v>235</v>
      </c>
      <c r="JD20" s="192" t="s">
        <v>236</v>
      </c>
      <c r="JE20" s="192" t="s">
        <v>237</v>
      </c>
      <c r="JF20" s="192" t="s">
        <v>253</v>
      </c>
      <c r="JG20" s="190" t="s">
        <v>255</v>
      </c>
      <c r="JH20" s="190" t="s">
        <v>254</v>
      </c>
      <c r="JI20" s="190" t="s">
        <v>343</v>
      </c>
      <c r="JJ20" s="192" t="s">
        <v>282</v>
      </c>
      <c r="JK20" s="192" t="s">
        <v>243</v>
      </c>
      <c r="JL20" s="154" t="s">
        <v>245</v>
      </c>
      <c r="JM20" s="190" t="s">
        <v>343</v>
      </c>
      <c r="JN20" s="193" t="s">
        <v>305</v>
      </c>
      <c r="JO20" s="190" t="s">
        <v>342</v>
      </c>
      <c r="JP20" s="190" t="s">
        <v>118</v>
      </c>
      <c r="JQ20" s="190"/>
      <c r="JR20" s="190" t="s">
        <v>108</v>
      </c>
      <c r="JS20" s="190" t="s">
        <v>109</v>
      </c>
      <c r="JT20" s="194" t="s">
        <v>126</v>
      </c>
      <c r="JW20" s="195" t="s">
        <v>84</v>
      </c>
      <c r="JX20" s="192" t="s">
        <v>93</v>
      </c>
      <c r="JY20" s="192" t="s">
        <v>94</v>
      </c>
      <c r="JZ20" s="192" t="s">
        <v>191</v>
      </c>
      <c r="KB20" s="195" t="s">
        <v>84</v>
      </c>
      <c r="KC20" s="192" t="s">
        <v>93</v>
      </c>
      <c r="KD20" s="192" t="s">
        <v>94</v>
      </c>
      <c r="KE20" s="192" t="s">
        <v>191</v>
      </c>
      <c r="KF20" s="190" t="s">
        <v>259</v>
      </c>
      <c r="KG20" s="190" t="s">
        <v>260</v>
      </c>
      <c r="KH20" s="191" t="s">
        <v>227</v>
      </c>
      <c r="KI20" s="191" t="s">
        <v>228</v>
      </c>
      <c r="KJ20" s="191" t="s">
        <v>230</v>
      </c>
      <c r="KK20" s="191" t="s">
        <v>261</v>
      </c>
      <c r="KL20" s="191" t="s">
        <v>231</v>
      </c>
      <c r="KM20" s="191" t="s">
        <v>232</v>
      </c>
      <c r="KP20" s="192" t="s">
        <v>239</v>
      </c>
      <c r="KQ20" s="192" t="s">
        <v>240</v>
      </c>
      <c r="KR20" s="192" t="s">
        <v>241</v>
      </c>
      <c r="KS20" s="192" t="s">
        <v>242</v>
      </c>
      <c r="KT20" s="189" t="s">
        <v>105</v>
      </c>
      <c r="KU20" s="192" t="s">
        <v>244</v>
      </c>
      <c r="KV20" s="190" t="s">
        <v>111</v>
      </c>
      <c r="KW20" s="190" t="s">
        <v>367</v>
      </c>
      <c r="KX20" s="192" t="s">
        <v>243</v>
      </c>
      <c r="KY20" s="198" t="s">
        <v>273</v>
      </c>
      <c r="KZ20" s="153" t="s">
        <v>245</v>
      </c>
      <c r="LA20" s="192" t="s">
        <v>248</v>
      </c>
      <c r="LB20" s="192" t="s">
        <v>249</v>
      </c>
      <c r="LC20" s="199" t="s">
        <v>250</v>
      </c>
      <c r="LD20" s="199" t="s">
        <v>251</v>
      </c>
      <c r="LE20" s="192" t="s">
        <v>235</v>
      </c>
      <c r="LF20" s="192" t="s">
        <v>236</v>
      </c>
      <c r="LG20" s="192" t="s">
        <v>237</v>
      </c>
      <c r="LH20" s="192" t="s">
        <v>253</v>
      </c>
      <c r="LI20" s="190" t="s">
        <v>255</v>
      </c>
      <c r="LJ20" s="190" t="s">
        <v>254</v>
      </c>
      <c r="LK20" s="190" t="s">
        <v>343</v>
      </c>
      <c r="LL20" s="192" t="s">
        <v>282</v>
      </c>
      <c r="LM20" s="192" t="s">
        <v>243</v>
      </c>
      <c r="LN20" s="154" t="s">
        <v>245</v>
      </c>
      <c r="LO20" s="190" t="s">
        <v>343</v>
      </c>
      <c r="LP20" s="193" t="s">
        <v>305</v>
      </c>
      <c r="LQ20" s="190" t="s">
        <v>342</v>
      </c>
      <c r="LR20" s="190" t="s">
        <v>118</v>
      </c>
      <c r="LS20" s="190"/>
      <c r="LT20" s="190" t="s">
        <v>108</v>
      </c>
      <c r="LU20" s="190" t="s">
        <v>109</v>
      </c>
      <c r="LV20" s="194" t="s">
        <v>126</v>
      </c>
      <c r="LY20" s="195" t="s">
        <v>84</v>
      </c>
      <c r="LZ20" s="192" t="s">
        <v>93</v>
      </c>
      <c r="MA20" s="192" t="s">
        <v>94</v>
      </c>
      <c r="MB20" s="192" t="s">
        <v>191</v>
      </c>
      <c r="MD20" s="195" t="s">
        <v>84</v>
      </c>
      <c r="ME20" s="192" t="s">
        <v>93</v>
      </c>
      <c r="MF20" s="192" t="s">
        <v>94</v>
      </c>
      <c r="MG20" s="192" t="s">
        <v>191</v>
      </c>
      <c r="MH20" s="190" t="s">
        <v>259</v>
      </c>
      <c r="MI20" s="190" t="s">
        <v>260</v>
      </c>
      <c r="MJ20" s="191" t="s">
        <v>229</v>
      </c>
      <c r="MK20" s="191" t="s">
        <v>228</v>
      </c>
      <c r="ML20" s="191" t="s">
        <v>227</v>
      </c>
      <c r="MM20" s="191" t="s">
        <v>230</v>
      </c>
      <c r="MN20" s="191" t="s">
        <v>231</v>
      </c>
      <c r="MO20" s="191" t="s">
        <v>232</v>
      </c>
      <c r="MP20" s="197" t="s">
        <v>226</v>
      </c>
      <c r="MQ20" s="192" t="s">
        <v>239</v>
      </c>
      <c r="MR20" s="192" t="s">
        <v>240</v>
      </c>
      <c r="MS20" s="192" t="s">
        <v>241</v>
      </c>
      <c r="MT20" s="192" t="s">
        <v>242</v>
      </c>
      <c r="MU20" s="189" t="s">
        <v>105</v>
      </c>
      <c r="MV20" s="192" t="s">
        <v>244</v>
      </c>
      <c r="MW20" s="190" t="s">
        <v>111</v>
      </c>
      <c r="MX20" s="190" t="s">
        <v>367</v>
      </c>
      <c r="MY20" s="192" t="s">
        <v>243</v>
      </c>
      <c r="MZ20" s="198" t="s">
        <v>273</v>
      </c>
      <c r="NA20" s="153" t="s">
        <v>245</v>
      </c>
      <c r="NB20" s="192" t="s">
        <v>248</v>
      </c>
      <c r="NC20" s="192" t="s">
        <v>249</v>
      </c>
      <c r="ND20" s="199" t="s">
        <v>250</v>
      </c>
      <c r="NE20" s="199" t="s">
        <v>251</v>
      </c>
      <c r="NF20" s="192" t="s">
        <v>235</v>
      </c>
      <c r="NG20" s="192" t="s">
        <v>236</v>
      </c>
      <c r="NH20" s="192" t="s">
        <v>237</v>
      </c>
      <c r="NI20" s="192" t="s">
        <v>253</v>
      </c>
      <c r="NJ20" s="190" t="s">
        <v>255</v>
      </c>
      <c r="NK20" s="190" t="s">
        <v>254</v>
      </c>
      <c r="NL20" s="190" t="s">
        <v>343</v>
      </c>
      <c r="NM20" s="192" t="s">
        <v>282</v>
      </c>
      <c r="NN20" s="192" t="s">
        <v>243</v>
      </c>
      <c r="NO20" s="154" t="s">
        <v>245</v>
      </c>
      <c r="NP20" s="190" t="s">
        <v>343</v>
      </c>
      <c r="NQ20" s="193" t="s">
        <v>305</v>
      </c>
      <c r="NR20" s="190" t="s">
        <v>342</v>
      </c>
      <c r="NS20" s="190" t="s">
        <v>118</v>
      </c>
      <c r="NT20" s="193" t="s">
        <v>305</v>
      </c>
      <c r="NU20" s="190" t="s">
        <v>108</v>
      </c>
      <c r="NV20" s="190" t="s">
        <v>109</v>
      </c>
      <c r="NW20" s="194" t="s">
        <v>126</v>
      </c>
    </row>
    <row r="21" spans="1:392" ht="13" x14ac:dyDescent="0.3">
      <c r="C21" s="168">
        <f>0*0.2</f>
        <v>0</v>
      </c>
      <c r="F21" s="154">
        <f>'PILP-laskin'!C21</f>
        <v>88.2</v>
      </c>
      <c r="G21" s="161"/>
      <c r="J21" s="153">
        <f>'PILP-laskin'!$C$55</f>
        <v>21</v>
      </c>
      <c r="K21" s="180" t="str">
        <f>IF(($FX$3=1),GE21,IF(($HY$3=1),IG21,IF(($KA$3=1),KI21,IF(($MC$3=1),MJ21,"Ei järjestelmää"))))</f>
        <v>Höyrystin poistoilmassa ennen LTO:a ja lauhdutin varaajassa</v>
      </c>
      <c r="S21" s="200"/>
      <c r="T21" s="156"/>
      <c r="U21" s="156"/>
      <c r="V21" s="181"/>
      <c r="X21" s="200"/>
      <c r="AB21" s="161"/>
      <c r="AI21" s="155"/>
      <c r="AJ21" s="201"/>
      <c r="AK21" s="201"/>
      <c r="AL21" s="201">
        <f>1*('PILP-laskin'!C42&gt;0)*(BO14=2)</f>
        <v>1</v>
      </c>
      <c r="AM21" s="201">
        <f>1*('PILP-laskin'!C43&gt;0)*(BO14=2)</f>
        <v>1</v>
      </c>
      <c r="AN21" s="201">
        <f>1*('PILP-laskin'!C22&gt;0)</f>
        <v>0</v>
      </c>
      <c r="AO21" s="161"/>
      <c r="AP21" s="153"/>
      <c r="AT21" s="153"/>
      <c r="AY21" s="153"/>
      <c r="BB21" s="153"/>
      <c r="BF21" s="162"/>
      <c r="BG21" s="162"/>
      <c r="BH21" s="162"/>
      <c r="BI21" s="162"/>
      <c r="BJ21" s="202"/>
      <c r="BL21" s="168"/>
      <c r="BM21" s="202"/>
      <c r="BN21" s="168"/>
      <c r="BO21" s="162">
        <f ca="1">SUM(BO24:INDIRECT(BO19))*AL21</f>
        <v>3714.8544520547944</v>
      </c>
      <c r="BP21" s="162">
        <f ca="1">SUM(BP24:INDIRECT(BP19))*AM21</f>
        <v>368.2363013698631</v>
      </c>
      <c r="BQ21" s="162">
        <f ca="1">SUM(BQ24:INDIRECT(BQ19))*AN21</f>
        <v>0</v>
      </c>
      <c r="BR21" s="156"/>
      <c r="BS21" s="161"/>
      <c r="BT21" s="168"/>
      <c r="CA21" s="156" t="s">
        <v>80</v>
      </c>
      <c r="CB21" s="154">
        <f>'PILP-laskin'!$C$30</f>
        <v>5</v>
      </c>
      <c r="CC21" s="154">
        <f>'PILP-laskin'!$C$31</f>
        <v>0</v>
      </c>
      <c r="CD21" s="154">
        <f>'PILP-laskin'!$C$32</f>
        <v>5</v>
      </c>
      <c r="CE21" s="154">
        <f>'PILP-laskin'!$C$33</f>
        <v>0</v>
      </c>
      <c r="CF21" s="154">
        <f>'PILP-laskin'!$C$34</f>
        <v>10</v>
      </c>
      <c r="CG21" s="154">
        <f>'PILP-laskin'!$C$35</f>
        <v>0</v>
      </c>
      <c r="CH21" s="154">
        <f>'PILP-laskin'!$C$36</f>
        <v>5</v>
      </c>
      <c r="CI21" s="154">
        <f>'PILP-laskin'!$C$37</f>
        <v>0</v>
      </c>
      <c r="CL21" s="153" t="s">
        <v>104</v>
      </c>
      <c r="CN21" s="162">
        <f ca="1">CN22/($A$80*(MAX($CB$12,10))/24)*1000</f>
        <v>340.94749251665462</v>
      </c>
      <c r="CO21" s="153" t="s">
        <v>89</v>
      </c>
      <c r="FT21" s="203">
        <f>MAX('PILP-laskin'!$C$46,1E-50)</f>
        <v>2.5</v>
      </c>
      <c r="FU21" s="182">
        <f>'PILP-laskin'!$C$47</f>
        <v>350</v>
      </c>
      <c r="FY21" s="168"/>
      <c r="FZ21" s="161"/>
      <c r="GC21" s="203">
        <f>'PILP-laskin'!$C$53</f>
        <v>0.56785714285714284</v>
      </c>
      <c r="GD21" s="153">
        <f>'PILP-laskin'!$C$55</f>
        <v>21</v>
      </c>
      <c r="GE21" s="153" t="str">
        <f>IF(GC21&gt;0,"Höyrystin poistoilmassa ennen LTO:a ja lauhdutin tuloilmassa","Höyrystin poistoilmassa ja lauhdutin tuloilmassa")</f>
        <v>Höyrystin poistoilmassa ennen LTO:a ja lauhdutin tuloilmassa</v>
      </c>
      <c r="GM21" s="157">
        <f t="shared" ref="GM21" si="20">1.2*$GA$14*(GD21-GG21)</f>
        <v>1486.8</v>
      </c>
      <c r="GN21" s="157">
        <f>1.2*$GA$15*(GJ21-GI21)</f>
        <v>0</v>
      </c>
      <c r="GR21" s="153" t="s">
        <v>90</v>
      </c>
      <c r="GU21" s="154" t="s">
        <v>264</v>
      </c>
      <c r="GV21" s="162">
        <f ca="1">SUM(GV24:INDIRECT(GV19))</f>
        <v>112838.593178336</v>
      </c>
      <c r="GX21" s="154" t="s">
        <v>238</v>
      </c>
      <c r="GY21" s="161"/>
      <c r="HA21" s="154" t="s">
        <v>246</v>
      </c>
      <c r="HB21" s="154" t="s">
        <v>246</v>
      </c>
      <c r="HC21" s="154" t="s">
        <v>246</v>
      </c>
      <c r="HD21" s="162">
        <f ca="1">SUM(HD24:INDIRECT(HD19))</f>
        <v>2186.3993150685596</v>
      </c>
      <c r="HE21" s="162">
        <f ca="1">SUM(HE24:INDIRECT(HE19))</f>
        <v>3279.5989726028392</v>
      </c>
      <c r="HF21" s="162">
        <f ca="1">SUM(HF24:INDIRECT(HF19))</f>
        <v>5465.9982876713993</v>
      </c>
      <c r="HG21" s="162">
        <f ca="1">SUM(HG24:INDIRECT(HG19))</f>
        <v>83318.045233129946</v>
      </c>
      <c r="HH21" s="162">
        <f ca="1">SUM(HH24:INDIRECT(HH19))</f>
        <v>36.691999999999958</v>
      </c>
      <c r="HI21" s="162">
        <f ca="1">SUM(HI24:INDIRECT(HI19))</f>
        <v>5491.3126151558054</v>
      </c>
      <c r="HJ21" s="162">
        <f ca="1">SUM(HJ24:INDIRECT(HJ19))</f>
        <v>15304.233369854548</v>
      </c>
      <c r="HK21" s="162">
        <f ca="1">SUM(HK24:INDIRECT(HK19))</f>
        <v>9838.235082183317</v>
      </c>
      <c r="HL21" s="162">
        <f ca="1">SUM(HL24:INDIRECT(HL19))</f>
        <v>23858.318253424659</v>
      </c>
      <c r="HM21" s="162">
        <f ca="1">SUM(HM24:INDIRECT(HM19))</f>
        <v>31552.947945211072</v>
      </c>
      <c r="HN21" s="162">
        <f ca="1">SUM(HN24:INDIRECT(HN19))</f>
        <v>3279.5989726028392</v>
      </c>
      <c r="HO21" s="162">
        <f ca="1">HP21-HR17-HR16</f>
        <v>2463.2017589828556</v>
      </c>
      <c r="HP21" s="162">
        <f ca="1">SUM(HP24:INDIRECT(HP19))</f>
        <v>8805.5730000000003</v>
      </c>
      <c r="HQ21" s="162">
        <f ca="1">SUM(HQ24:INDIRECT(HQ19))</f>
        <v>5742.8007315856948</v>
      </c>
      <c r="HR21" s="162">
        <f ca="1">HP21-HQ21</f>
        <v>3062.7722684143055</v>
      </c>
      <c r="HU21" s="203">
        <f>MAX('PILP-laskin'!$C$46,1E-50)</f>
        <v>2.5</v>
      </c>
      <c r="HV21" s="182">
        <f>'PILP-laskin'!$C$47</f>
        <v>350</v>
      </c>
      <c r="HZ21" s="168"/>
      <c r="IA21" s="161"/>
      <c r="ID21" s="203">
        <f>'PILP-laskin'!$C$53</f>
        <v>0.56785714285714284</v>
      </c>
      <c r="IE21" s="153">
        <f>'PILP-laskin'!$C$55</f>
        <v>21</v>
      </c>
      <c r="IG21" s="153" t="str">
        <f>IF(ID21&gt;0,"Höyrystin poistoilmassa LTO:n jälkeen ja lauhdutin tuloilmassa","Höyrystin poistoilmassa ja lauhdutin tuloilmassa")</f>
        <v>Höyrystin poistoilmassa LTO:n jälkeen ja lauhdutin tuloilmassa</v>
      </c>
      <c r="IO21" s="157">
        <f>1.2*$GA$14*(IE21-IF21)</f>
        <v>1486.8</v>
      </c>
      <c r="IP21" s="157">
        <f>MAX(1.2*$GA$15*($IM$17-IJ21),0)</f>
        <v>953.99999999999989</v>
      </c>
      <c r="IQ21" s="157">
        <f>IO21-IN21-IP21</f>
        <v>532.80000000000007</v>
      </c>
      <c r="IT21" s="153" t="s">
        <v>90</v>
      </c>
      <c r="IW21" s="154" t="s">
        <v>264</v>
      </c>
      <c r="IX21" s="162">
        <f ca="1">SUM(IX24:INDIRECT(IX19))</f>
        <v>101004.16228990696</v>
      </c>
      <c r="IZ21" s="154" t="s">
        <v>238</v>
      </c>
      <c r="JA21" s="161"/>
      <c r="JC21" s="154" t="s">
        <v>246</v>
      </c>
      <c r="JD21" s="154" t="s">
        <v>246</v>
      </c>
      <c r="JE21" s="154" t="s">
        <v>246</v>
      </c>
      <c r="JF21" s="162">
        <f ca="1">SUM(JF24:INDIRECT(JF19))</f>
        <v>1804.2576542857146</v>
      </c>
      <c r="JG21" s="162">
        <f ca="1">SUM(JG24:INDIRECT(JG19))</f>
        <v>2706.3864814285712</v>
      </c>
      <c r="JH21" s="162">
        <f ca="1">SUM(JH24:INDIRECT(JH19))</f>
        <v>4510.6441357142849</v>
      </c>
      <c r="JI21" s="162">
        <f ca="1">SUM(JI24:INDIRECT(JI19))</f>
        <v>83930.237289906945</v>
      </c>
      <c r="JJ21" s="162">
        <f ca="1">SUM(JJ24:INDIRECT(JJ19))</f>
        <v>151.25210142857142</v>
      </c>
      <c r="JK21" s="162">
        <f ca="1">SUM(JK24:INDIRECT(JK19))</f>
        <v>5423.7608630268132</v>
      </c>
      <c r="JL21" s="162">
        <f ca="1">SUM(JL24:INDIRECT(JL19))</f>
        <v>13442.792517540704</v>
      </c>
      <c r="JM21" s="162">
        <f ca="1">SUM(JM24:INDIRECT(JM19))</f>
        <v>8932.1483818264205</v>
      </c>
      <c r="JN21" s="162">
        <f ca="1">SUM(JN24:INDIRECT(JN19))</f>
        <v>23858.318253424659</v>
      </c>
      <c r="JO21" s="162">
        <f ca="1">SUM(JO24:INDIRECT(JO19))</f>
        <v>8996.114999999998</v>
      </c>
      <c r="JP21" s="162">
        <f ca="1">SUM(JP24:INDIRECT(JP19))</f>
        <v>2706.3864814285712</v>
      </c>
      <c r="JQ21" s="162">
        <f ca="1">JR21-JT17-JT16</f>
        <v>1107.4216457142852</v>
      </c>
      <c r="JR21" s="162">
        <f ca="1">SUM(JR24:INDIRECT(JR19))</f>
        <v>8805.5730000000003</v>
      </c>
      <c r="JS21" s="162">
        <f ca="1">SUM(JS24:INDIRECT(JS19))</f>
        <v>3813.8081271428568</v>
      </c>
      <c r="JT21" s="162">
        <f ca="1">JR21-JS21</f>
        <v>4991.7648728571439</v>
      </c>
      <c r="JW21" s="203">
        <f>MAX('PILP-laskin'!$C$46,1E-50)</f>
        <v>2.5</v>
      </c>
      <c r="JX21" s="182">
        <f>'PILP-laskin'!$C$47</f>
        <v>350</v>
      </c>
      <c r="KB21" s="168"/>
      <c r="KC21" s="161"/>
      <c r="KF21" s="203">
        <f>'PILP-laskin'!$C$53</f>
        <v>0.56785714285714284</v>
      </c>
      <c r="KG21" s="153">
        <f>'PILP-laskin'!$C$55</f>
        <v>21</v>
      </c>
      <c r="KI21" s="153" t="str">
        <f>IF(KF21&gt;0,"Höyrystin poistoilmassa LTO:n jälkeen ja lauhdutin varaajassa","Höyrystin poistoilmassa ja lauhdutin varaajassa")</f>
        <v>Höyrystin poistoilmassa LTO:n jälkeen ja lauhdutin varaajassa</v>
      </c>
      <c r="KQ21" s="157">
        <f>1.2*$GA$14*(KG21-KH21)</f>
        <v>1486.8</v>
      </c>
      <c r="KV21" s="153" t="s">
        <v>90</v>
      </c>
      <c r="KY21" s="154" t="s">
        <v>264</v>
      </c>
      <c r="KZ21" s="162">
        <f ca="1">SUM(KZ24:INDIRECT(KZ19))</f>
        <v>101004.16228990696</v>
      </c>
      <c r="LB21" s="154" t="s">
        <v>238</v>
      </c>
      <c r="LC21" s="161"/>
      <c r="LE21" s="154" t="s">
        <v>246</v>
      </c>
      <c r="LF21" s="154" t="s">
        <v>246</v>
      </c>
      <c r="LG21" s="154" t="s">
        <v>246</v>
      </c>
      <c r="LH21" s="162">
        <f ca="1">SUM(LH24:INDIRECT(LH19))</f>
        <v>1804.2576542857146</v>
      </c>
      <c r="LI21" s="162">
        <f ca="1">SUM(LI24:INDIRECT(LI19))</f>
        <v>2706.3864814285712</v>
      </c>
      <c r="LJ21" s="162">
        <f ca="1">SUM(LJ24:INDIRECT(LJ19))</f>
        <v>4510.6441357142849</v>
      </c>
      <c r="LK21" s="162">
        <f ca="1">SUM(LK24:INDIRECT(LK19))</f>
        <v>83930.237289906945</v>
      </c>
      <c r="LL21" s="162">
        <f ca="1">SUM(LL24:INDIRECT(LL19))</f>
        <v>685.65880285714297</v>
      </c>
      <c r="LM21" s="162">
        <f ca="1">SUM(LM24:INDIRECT(LM19))</f>
        <v>5423.7608630268132</v>
      </c>
      <c r="LN21" s="162">
        <f ca="1">SUM(LN24:INDIRECT(LN19))</f>
        <v>13442.792517540704</v>
      </c>
      <c r="LO21" s="162">
        <f ca="1">SUM(LO24:INDIRECT(LO19))</f>
        <v>8932.1483818264205</v>
      </c>
      <c r="LP21" s="162">
        <f ca="1">SUM(LP24:INDIRECT(LP19))</f>
        <v>23858.318253424659</v>
      </c>
      <c r="LQ21" s="162">
        <f ca="1">SUM(LQ24:INDIRECT(LQ19))</f>
        <v>8996.114999999998</v>
      </c>
      <c r="LR21" s="162">
        <f ca="1">SUM(LR24:INDIRECT(LR19))</f>
        <v>2706.3864814285712</v>
      </c>
      <c r="LS21" s="162">
        <f ca="1">LT21-LV17-LV16</f>
        <v>1107.4216457142852</v>
      </c>
      <c r="LT21" s="162">
        <f ca="1">SUM(LT24:INDIRECT(LT19))</f>
        <v>8805.5730000000003</v>
      </c>
      <c r="LU21" s="162">
        <f ca="1">SUM(LU24:INDIRECT(LU19))</f>
        <v>3813.8081271428568</v>
      </c>
      <c r="LV21" s="162">
        <f ca="1">LT21-LU21</f>
        <v>4991.7648728571439</v>
      </c>
      <c r="LY21" s="203">
        <f>MAX('PILP-laskin'!$C$46,1E-50)</f>
        <v>2.5</v>
      </c>
      <c r="LZ21" s="182">
        <f>'PILP-laskin'!$C$47</f>
        <v>350</v>
      </c>
      <c r="MD21" s="168"/>
      <c r="ME21" s="161"/>
      <c r="MH21" s="203">
        <f>'PILP-laskin'!$C$53</f>
        <v>0.56785714285714284</v>
      </c>
      <c r="MI21" s="153">
        <f>'PILP-laskin'!$C$55</f>
        <v>21</v>
      </c>
      <c r="MJ21" s="153" t="str">
        <f>IF(MH21&gt;0,"Höyrystin poistoilmassa ennen LTO:a ja lauhdutin varaajassa","Höyrystin poistoilmassa ja lauhdutin varaajassa")</f>
        <v>Höyrystin poistoilmassa ennen LTO:a ja lauhdutin varaajassa</v>
      </c>
      <c r="MR21" s="157">
        <f>1.2*$GA$14*(MI21-ML21)</f>
        <v>1486.8</v>
      </c>
      <c r="MW21" s="153" t="s">
        <v>90</v>
      </c>
      <c r="MZ21" s="154" t="s">
        <v>264</v>
      </c>
      <c r="NA21" s="162">
        <f ca="1">SUM(NA24:INDIRECT(NA19))</f>
        <v>112930.52132623256</v>
      </c>
      <c r="NC21" s="154" t="s">
        <v>238</v>
      </c>
      <c r="ND21" s="161"/>
      <c r="NF21" s="154" t="s">
        <v>246</v>
      </c>
      <c r="NG21" s="154" t="s">
        <v>246</v>
      </c>
      <c r="NH21" s="154" t="s">
        <v>246</v>
      </c>
      <c r="NI21" s="162">
        <f ca="1">SUM(NI24:INDIRECT(NI19))</f>
        <v>2197.3571502977634</v>
      </c>
      <c r="NJ21" s="162">
        <f ca="1">SUM(NJ24:INDIRECT(NJ19))</f>
        <v>3296.0357254466448</v>
      </c>
      <c r="NK21" s="162">
        <f ca="1">SUM(NK24:INDIRECT(NK19))</f>
        <v>5493.3928757444082</v>
      </c>
      <c r="NL21" s="162">
        <f ca="1">SUM(NL24:INDIRECT(NL19))</f>
        <v>83318.045233130499</v>
      </c>
      <c r="NM21" s="162">
        <f ca="1">SUM(NM24:INDIRECT(NM19))</f>
        <v>2443.0325252160324</v>
      </c>
      <c r="NN21" s="162">
        <f ca="1">SUM(NN24:INDIRECT(NN19))</f>
        <v>5473.2518207129679</v>
      </c>
      <c r="NO21" s="162">
        <f ca="1">SUM(NO24:INDIRECT(NO19))</f>
        <v>15331.627957927723</v>
      </c>
      <c r="NP21" s="162">
        <f ca="1">SUM(NP24:INDIRECT(NP19))</f>
        <v>9838.235082183317</v>
      </c>
      <c r="NQ21" s="162">
        <f ca="1">SUM(NQ24:INDIRECT(NQ19))</f>
        <v>23858.318253424659</v>
      </c>
      <c r="NR21" s="162">
        <f ca="1">SUM(NR24:INDIRECT(NR19))</f>
        <v>20464.808147896569</v>
      </c>
      <c r="NS21" s="162">
        <f ca="1">SUM(NS24:INDIRECT(NS19))</f>
        <v>3296.0357254466448</v>
      </c>
      <c r="NT21" s="162">
        <f ca="1">NU21-NW17-NW16</f>
        <v>2456.0987997693869</v>
      </c>
      <c r="NU21" s="162">
        <f ca="1">SUM(NU24:INDIRECT(NU19))</f>
        <v>8805.5730000000003</v>
      </c>
      <c r="NV21" s="162">
        <f ca="1">SUM(NV24:INDIRECT(NV19))</f>
        <v>5752.1345252160318</v>
      </c>
      <c r="NW21" s="162">
        <f ca="1">NU21-NV21</f>
        <v>3053.4384747839686</v>
      </c>
    </row>
    <row r="22" spans="1:392" ht="16.5" x14ac:dyDescent="0.4">
      <c r="A22" s="156" t="s">
        <v>24</v>
      </c>
      <c r="B22" s="156" t="s">
        <v>129</v>
      </c>
      <c r="C22" s="156" t="s">
        <v>130</v>
      </c>
      <c r="D22" s="156" t="s">
        <v>71</v>
      </c>
      <c r="E22" s="156" t="s">
        <v>70</v>
      </c>
      <c r="F22" s="156" t="s">
        <v>86</v>
      </c>
      <c r="G22" s="156" t="s">
        <v>121</v>
      </c>
      <c r="H22" s="156" t="s">
        <v>313</v>
      </c>
      <c r="J22" s="154" t="s">
        <v>280</v>
      </c>
      <c r="K22" s="154" t="s">
        <v>296</v>
      </c>
      <c r="L22" s="154" t="s">
        <v>297</v>
      </c>
      <c r="M22" s="154" t="s">
        <v>290</v>
      </c>
      <c r="N22" s="154" t="s">
        <v>299</v>
      </c>
      <c r="O22" s="154" t="s">
        <v>298</v>
      </c>
      <c r="P22" s="154" t="s">
        <v>300</v>
      </c>
      <c r="Q22" s="154" t="s">
        <v>309</v>
      </c>
      <c r="R22" s="154" t="s">
        <v>320</v>
      </c>
      <c r="S22" s="179" t="s">
        <v>315</v>
      </c>
      <c r="T22" s="154" t="s">
        <v>302</v>
      </c>
      <c r="U22" s="154" t="s">
        <v>307</v>
      </c>
      <c r="V22" s="154" t="s">
        <v>334</v>
      </c>
      <c r="W22" s="154" t="s">
        <v>348</v>
      </c>
      <c r="X22" s="179" t="s">
        <v>315</v>
      </c>
      <c r="Y22" s="179" t="s">
        <v>314</v>
      </c>
      <c r="AC22" s="154" t="s">
        <v>331</v>
      </c>
      <c r="AD22" s="154" t="s">
        <v>318</v>
      </c>
      <c r="AE22" s="154" t="s">
        <v>319</v>
      </c>
      <c r="AF22" s="154" t="s">
        <v>320</v>
      </c>
      <c r="AG22" s="154" t="s">
        <v>316</v>
      </c>
      <c r="AH22" s="154" t="s">
        <v>317</v>
      </c>
      <c r="AI22" s="154" t="s">
        <v>329</v>
      </c>
      <c r="AJ22" s="154" t="s">
        <v>325</v>
      </c>
      <c r="AK22" s="154" t="s">
        <v>330</v>
      </c>
      <c r="AL22" s="154" t="s">
        <v>326</v>
      </c>
      <c r="AM22" s="154" t="s">
        <v>327</v>
      </c>
      <c r="AN22" s="154" t="s">
        <v>328</v>
      </c>
      <c r="AO22" s="153"/>
      <c r="AP22" s="154" t="s">
        <v>353</v>
      </c>
      <c r="AQ22" s="154" t="s">
        <v>354</v>
      </c>
      <c r="AR22" s="154" t="s">
        <v>335</v>
      </c>
      <c r="AY22" s="156"/>
      <c r="AZ22" s="156"/>
      <c r="BA22" s="156"/>
      <c r="BB22" s="156"/>
      <c r="BC22" s="156"/>
      <c r="BD22" s="156"/>
      <c r="BF22" s="156"/>
      <c r="BG22" s="156"/>
      <c r="BO22" s="153" t="s">
        <v>112</v>
      </c>
      <c r="BP22" s="153" t="s">
        <v>115</v>
      </c>
      <c r="BQ22" s="153" t="s">
        <v>289</v>
      </c>
      <c r="BT22" s="168"/>
      <c r="CA22" s="158" t="s">
        <v>214</v>
      </c>
      <c r="CB22" s="204" t="s">
        <v>72</v>
      </c>
      <c r="CC22" s="204" t="s">
        <v>73</v>
      </c>
      <c r="CD22" s="205" t="s">
        <v>74</v>
      </c>
      <c r="CE22" s="205" t="s">
        <v>75</v>
      </c>
      <c r="CF22" s="205" t="s">
        <v>76</v>
      </c>
      <c r="CG22" s="205" t="s">
        <v>77</v>
      </c>
      <c r="CH22" s="204" t="s">
        <v>78</v>
      </c>
      <c r="CI22" s="204" t="s">
        <v>79</v>
      </c>
      <c r="CJ22" s="154" t="s">
        <v>202</v>
      </c>
      <c r="CL22" s="154" t="s">
        <v>82</v>
      </c>
      <c r="CM22" s="153" t="s">
        <v>83</v>
      </c>
      <c r="CN22" s="162">
        <f ca="1">SUM(CN24:INDIRECT(CN19))</f>
        <v>2156.4928901678404</v>
      </c>
      <c r="FT22" s="168"/>
      <c r="FX22" s="156" t="s">
        <v>121</v>
      </c>
      <c r="FY22" s="168"/>
      <c r="FZ22" s="154" t="s">
        <v>252</v>
      </c>
      <c r="GA22" s="154" t="s">
        <v>252</v>
      </c>
      <c r="GB22" s="154" t="s">
        <v>252</v>
      </c>
      <c r="GC22" s="171" t="s">
        <v>368</v>
      </c>
      <c r="GD22" s="154" t="s">
        <v>195</v>
      </c>
      <c r="GE22" s="154" t="s">
        <v>182</v>
      </c>
      <c r="GF22" s="154" t="s">
        <v>183</v>
      </c>
      <c r="GG22" s="154" t="s">
        <v>192</v>
      </c>
      <c r="GH22" s="154" t="s">
        <v>184</v>
      </c>
      <c r="GI22" s="154" t="s">
        <v>185</v>
      </c>
      <c r="GJ22" s="154" t="s">
        <v>186</v>
      </c>
      <c r="GK22" s="154" t="s">
        <v>188</v>
      </c>
      <c r="GP22" s="184" t="s">
        <v>267</v>
      </c>
      <c r="GQ22" s="206" t="s">
        <v>268</v>
      </c>
      <c r="GU22" s="201" t="s">
        <v>265</v>
      </c>
      <c r="GV22" s="162" t="e">
        <f>GR22-GT22+GN22+GU22</f>
        <v>#VALUE!</v>
      </c>
      <c r="HA22" s="154">
        <v>0.9</v>
      </c>
      <c r="HD22" s="156"/>
      <c r="HE22" s="156"/>
      <c r="HF22" s="156"/>
      <c r="HG22" s="157" t="e">
        <f>(GP22+GU22+GM22-GL22-GT22-HC22-GN22)</f>
        <v>#VALUE!</v>
      </c>
      <c r="HM22" s="157" t="e">
        <f>MAX(1.2*$GA$15*($IM$17-GD22)-GL22-GA22,0)</f>
        <v>#VALUE!</v>
      </c>
      <c r="HN22" s="156" t="s">
        <v>119</v>
      </c>
      <c r="HO22" s="156" t="s">
        <v>281</v>
      </c>
      <c r="HP22" s="154" t="s">
        <v>107</v>
      </c>
      <c r="HQ22" s="154" t="s">
        <v>106</v>
      </c>
      <c r="HR22" s="154" t="s">
        <v>116</v>
      </c>
      <c r="HU22" s="168">
        <f>'PILP-laskin'!$C$46+0*(0.0419*EW22+ 2.1194)</f>
        <v>2.5</v>
      </c>
      <c r="HY22" s="156" t="s">
        <v>121</v>
      </c>
      <c r="HZ22" s="168"/>
      <c r="IA22" s="154" t="s">
        <v>252</v>
      </c>
      <c r="IB22" s="154" t="s">
        <v>252</v>
      </c>
      <c r="IC22" s="154" t="s">
        <v>252</v>
      </c>
      <c r="ID22" s="171" t="s">
        <v>368</v>
      </c>
      <c r="IE22" s="154" t="s">
        <v>195</v>
      </c>
      <c r="IF22" s="154" t="s">
        <v>192</v>
      </c>
      <c r="IG22" s="154" t="s">
        <v>183</v>
      </c>
      <c r="IH22" s="154" t="s">
        <v>184</v>
      </c>
      <c r="II22" s="154" t="s">
        <v>187</v>
      </c>
      <c r="IJ22" s="154" t="s">
        <v>185</v>
      </c>
      <c r="IK22" s="154" t="s">
        <v>186</v>
      </c>
      <c r="IL22" s="154" t="s">
        <v>189</v>
      </c>
      <c r="IM22" s="154" t="s">
        <v>190</v>
      </c>
      <c r="IN22" s="200">
        <f>IJ57-IH57</f>
        <v>7.6168575920934423</v>
      </c>
      <c r="IP22" s="157" t="e">
        <f>MAX(1.2*$GA$15*($IM$17-IF22)-IN22-IC22,0)</f>
        <v>#VALUE!</v>
      </c>
      <c r="IQ22" s="157">
        <f>IO22-IN22</f>
        <v>-7.6168575920934423</v>
      </c>
      <c r="IR22" s="184" t="s">
        <v>263</v>
      </c>
      <c r="IS22" s="206" t="s">
        <v>247</v>
      </c>
      <c r="IW22" s="201" t="s">
        <v>265</v>
      </c>
      <c r="IX22" s="162" t="e">
        <f t="shared" ref="IX22" si="21">IT22-IV22+IP22+IW22</f>
        <v>#VALUE!</v>
      </c>
      <c r="IY22" s="157" t="e">
        <f t="shared" ref="IY22:IY74" si="22">MIN(HX22,IX22)</f>
        <v>#VALUE!</v>
      </c>
      <c r="IZ22" s="157" t="e">
        <f t="shared" ref="IZ22" si="23">MIN(1.2*$GA$14*(IG22-II22),HW22)</f>
        <v>#VALUE!</v>
      </c>
      <c r="JA22" s="207" t="e">
        <f t="shared" ref="JA22" si="24">IY22/HZ22</f>
        <v>#VALUE!</v>
      </c>
      <c r="JB22" s="207" t="e">
        <f t="shared" ref="JB22" si="25">IZ22/(HZ22-1)</f>
        <v>#VALUE!</v>
      </c>
      <c r="JC22" s="154">
        <v>1</v>
      </c>
      <c r="JF22" s="156"/>
      <c r="JG22" s="156"/>
      <c r="JH22" s="156"/>
      <c r="JI22" s="157" t="e">
        <f>(IR22+IW22+IO22-IN22-IV22-JE22-IP22)</f>
        <v>#VALUE!</v>
      </c>
      <c r="JM22" s="168" t="e">
        <f>JI22/1000*$FX22</f>
        <v>#VALUE!</v>
      </c>
      <c r="JO22" s="157" t="e">
        <f>MAX(1.2*$GA$15*($IM$17-IF22)-IN22-IC22,0)</f>
        <v>#VALUE!</v>
      </c>
      <c r="JP22" s="156" t="s">
        <v>119</v>
      </c>
      <c r="JQ22" s="156" t="s">
        <v>281</v>
      </c>
      <c r="JR22" s="154" t="s">
        <v>107</v>
      </c>
      <c r="JS22" s="154" t="s">
        <v>106</v>
      </c>
      <c r="JT22" s="154" t="s">
        <v>116</v>
      </c>
      <c r="JW22" s="168">
        <f>'PILP-laskin'!$C$46+0*(0.0419*GY22+ 2.1194)</f>
        <v>2.5</v>
      </c>
      <c r="KA22" s="156" t="s">
        <v>121</v>
      </c>
      <c r="KB22" s="168"/>
      <c r="KC22" s="154" t="s">
        <v>252</v>
      </c>
      <c r="KD22" s="154" t="s">
        <v>252</v>
      </c>
      <c r="KE22" s="154" t="s">
        <v>252</v>
      </c>
      <c r="KF22" s="171" t="s">
        <v>368</v>
      </c>
      <c r="KG22" s="154" t="s">
        <v>195</v>
      </c>
      <c r="KH22" s="154" t="s">
        <v>192</v>
      </c>
      <c r="KI22" s="154" t="s">
        <v>183</v>
      </c>
      <c r="KJ22" s="154" t="s">
        <v>184</v>
      </c>
      <c r="KK22" s="154" t="s">
        <v>187</v>
      </c>
      <c r="KL22" s="154" t="s">
        <v>185</v>
      </c>
      <c r="KM22" s="154" t="s">
        <v>186</v>
      </c>
      <c r="KN22" s="154" t="s">
        <v>189</v>
      </c>
      <c r="KO22" s="154" t="s">
        <v>190</v>
      </c>
      <c r="KT22" s="184" t="s">
        <v>263</v>
      </c>
      <c r="KU22" s="206" t="s">
        <v>247</v>
      </c>
      <c r="KY22" s="201" t="s">
        <v>265</v>
      </c>
      <c r="KZ22" s="162" t="e">
        <f>KV22-KX22+KR22+KY22</f>
        <v>#VALUE!</v>
      </c>
      <c r="LE22" s="154">
        <v>1</v>
      </c>
      <c r="LH22" s="156"/>
      <c r="LI22" s="156"/>
      <c r="LJ22" s="156"/>
      <c r="LK22" s="157" t="e">
        <f>(KT22+KY22+KQ22-KP22-KX22-LG22-KR22)</f>
        <v>#VALUE!</v>
      </c>
      <c r="LN22" s="168" t="e">
        <f>KZ22/1000*$KA22</f>
        <v>#VALUE!</v>
      </c>
      <c r="LO22" s="168" t="e">
        <f>LK22/1000*$FX22</f>
        <v>#VALUE!</v>
      </c>
      <c r="LQ22" s="157" t="e">
        <f>MAX(1.2*$GA$15*($IM$17-KH22)-KP22-KE22,0)</f>
        <v>#VALUE!</v>
      </c>
      <c r="LR22" s="156" t="s">
        <v>119</v>
      </c>
      <c r="LS22" s="156" t="s">
        <v>281</v>
      </c>
      <c r="LT22" s="154" t="s">
        <v>107</v>
      </c>
      <c r="LU22" s="154" t="s">
        <v>106</v>
      </c>
      <c r="LV22" s="154" t="s">
        <v>116</v>
      </c>
      <c r="LY22" s="168" t="e">
        <f>'PILP-laskin'!$C$46+0*(0.0419*JB22+ 2.1194)</f>
        <v>#VALUE!</v>
      </c>
      <c r="MC22" s="156" t="s">
        <v>121</v>
      </c>
      <c r="MD22" s="168"/>
      <c r="ME22" s="154" t="s">
        <v>252</v>
      </c>
      <c r="MF22" s="154" t="s">
        <v>252</v>
      </c>
      <c r="MG22" s="154" t="s">
        <v>252</v>
      </c>
      <c r="MH22" s="171" t="s">
        <v>368</v>
      </c>
      <c r="MI22" s="154" t="s">
        <v>195</v>
      </c>
      <c r="MJ22" s="154" t="s">
        <v>182</v>
      </c>
      <c r="MK22" s="154" t="s">
        <v>183</v>
      </c>
      <c r="ML22" s="154" t="s">
        <v>192</v>
      </c>
      <c r="MM22" s="154" t="s">
        <v>184</v>
      </c>
      <c r="MN22" s="154" t="s">
        <v>185</v>
      </c>
      <c r="MO22" s="154" t="s">
        <v>186</v>
      </c>
      <c r="MP22" s="154" t="s">
        <v>188</v>
      </c>
      <c r="MU22" s="184" t="s">
        <v>267</v>
      </c>
      <c r="MV22" s="206" t="s">
        <v>268</v>
      </c>
      <c r="MZ22" s="201" t="s">
        <v>265</v>
      </c>
      <c r="NA22" s="162" t="e">
        <f>MW22-MY22+MS22+MZ22</f>
        <v>#VALUE!</v>
      </c>
      <c r="NF22" s="154">
        <v>1</v>
      </c>
      <c r="NI22" s="156"/>
      <c r="NJ22" s="156"/>
      <c r="NK22" s="156"/>
      <c r="NL22" s="157" t="e">
        <f>(MU22+MZ22+MR22-MQ22-MY22-NH22-MS22)</f>
        <v>#VALUE!</v>
      </c>
      <c r="NP22" s="168" t="e">
        <f>NL22/1000*$FX22</f>
        <v>#VALUE!</v>
      </c>
      <c r="NR22" s="157" t="e">
        <f>MAX(1.2*$GA$15*($IM$17-MI22)-MQ22-MF22,0)</f>
        <v>#VALUE!</v>
      </c>
      <c r="NS22" s="156" t="s">
        <v>119</v>
      </c>
      <c r="NT22" s="156" t="s">
        <v>281</v>
      </c>
      <c r="NU22" s="154" t="s">
        <v>107</v>
      </c>
      <c r="NV22" s="154" t="s">
        <v>106</v>
      </c>
      <c r="NW22" s="154" t="s">
        <v>116</v>
      </c>
    </row>
    <row r="23" spans="1:392" ht="13" x14ac:dyDescent="0.3">
      <c r="G23" s="156" t="s">
        <v>92</v>
      </c>
      <c r="I23" s="154" t="s">
        <v>336</v>
      </c>
      <c r="K23" s="154" t="s">
        <v>291</v>
      </c>
      <c r="L23" s="154" t="s">
        <v>292</v>
      </c>
      <c r="M23" s="154" t="s">
        <v>290</v>
      </c>
      <c r="N23" s="154" t="s">
        <v>293</v>
      </c>
      <c r="O23" s="154" t="s">
        <v>294</v>
      </c>
      <c r="P23" s="154" t="s">
        <v>295</v>
      </c>
      <c r="Q23" s="154" t="s">
        <v>310</v>
      </c>
      <c r="R23" s="156" t="s">
        <v>120</v>
      </c>
      <c r="S23" s="156" t="s">
        <v>120</v>
      </c>
      <c r="T23" s="154" t="s">
        <v>350</v>
      </c>
      <c r="U23" s="154" t="s">
        <v>349</v>
      </c>
      <c r="V23" s="154" t="s">
        <v>312</v>
      </c>
      <c r="W23" s="154" t="s">
        <v>312</v>
      </c>
      <c r="X23" s="156" t="s">
        <v>312</v>
      </c>
      <c r="Y23" s="156" t="s">
        <v>312</v>
      </c>
      <c r="Z23" s="156" t="s">
        <v>312</v>
      </c>
      <c r="AA23" s="156" t="s">
        <v>312</v>
      </c>
      <c r="AB23" s="156" t="s">
        <v>312</v>
      </c>
      <c r="AC23" s="156" t="s">
        <v>312</v>
      </c>
      <c r="AD23" s="156" t="s">
        <v>312</v>
      </c>
      <c r="AE23" s="156" t="s">
        <v>312</v>
      </c>
      <c r="AF23" s="156" t="s">
        <v>312</v>
      </c>
      <c r="AG23" s="156" t="s">
        <v>312</v>
      </c>
      <c r="AH23" s="156" t="s">
        <v>312</v>
      </c>
      <c r="AI23" s="156" t="s">
        <v>312</v>
      </c>
      <c r="AJ23" s="156" t="s">
        <v>312</v>
      </c>
      <c r="AK23" s="156" t="s">
        <v>312</v>
      </c>
      <c r="AL23" s="156" t="s">
        <v>81</v>
      </c>
      <c r="AM23" s="156" t="s">
        <v>81</v>
      </c>
      <c r="AN23" s="156" t="s">
        <v>81</v>
      </c>
      <c r="AO23" s="156"/>
      <c r="AP23" s="156" t="s">
        <v>312</v>
      </c>
      <c r="AQ23" s="156" t="s">
        <v>312</v>
      </c>
      <c r="AR23" s="156" t="s">
        <v>312</v>
      </c>
      <c r="AS23" s="156"/>
      <c r="AT23" s="156"/>
      <c r="AU23" s="156"/>
      <c r="AV23" s="156"/>
      <c r="AW23" s="156"/>
      <c r="AX23" s="156"/>
      <c r="AY23" s="156"/>
      <c r="AZ23" s="156"/>
      <c r="BA23" s="156"/>
      <c r="BB23" s="156"/>
      <c r="BC23" s="156"/>
      <c r="BD23" s="156"/>
      <c r="BE23" s="156"/>
      <c r="BF23" s="156"/>
      <c r="BG23" s="156"/>
      <c r="BH23" s="156"/>
      <c r="BI23" s="156"/>
      <c r="BJ23" s="156"/>
      <c r="BK23" s="156"/>
      <c r="BL23" s="156"/>
      <c r="BM23" s="156"/>
      <c r="BN23" s="156"/>
      <c r="BO23" s="156" t="s">
        <v>120</v>
      </c>
      <c r="BP23" s="156" t="s">
        <v>120</v>
      </c>
      <c r="BQ23" s="156" t="s">
        <v>120</v>
      </c>
      <c r="BR23" s="156"/>
      <c r="BS23" s="208"/>
      <c r="BT23" s="208"/>
      <c r="BU23" s="208"/>
      <c r="BV23" s="208"/>
      <c r="BW23" s="208"/>
      <c r="BX23" s="208"/>
      <c r="CA23" s="156" t="s">
        <v>136</v>
      </c>
      <c r="CB23" s="200">
        <v>0.50944527736131928</v>
      </c>
      <c r="CC23" s="200">
        <v>0.52383808095952022</v>
      </c>
      <c r="CD23" s="200">
        <v>0.68815592203898046</v>
      </c>
      <c r="CE23" s="200">
        <v>1.0482758620689656</v>
      </c>
      <c r="CF23" s="200">
        <v>1.2509745127436283</v>
      </c>
      <c r="CG23" s="200">
        <v>1.0488755622188906</v>
      </c>
      <c r="CH23" s="200">
        <v>0.6890554722638681</v>
      </c>
      <c r="CI23" s="200">
        <v>0.52473763118440775</v>
      </c>
      <c r="CJ23" s="154" t="s">
        <v>81</v>
      </c>
      <c r="CK23" s="154" t="s">
        <v>216</v>
      </c>
      <c r="CM23" s="153" t="s">
        <v>216</v>
      </c>
      <c r="CN23" s="154" t="s">
        <v>120</v>
      </c>
      <c r="CO23" s="209" t="s">
        <v>81</v>
      </c>
      <c r="FT23" s="208"/>
      <c r="FU23" s="208" t="s">
        <v>81</v>
      </c>
      <c r="FV23" s="208">
        <v>0</v>
      </c>
      <c r="FW23" s="208" t="s">
        <v>81</v>
      </c>
      <c r="FX23" s="156" t="s">
        <v>92</v>
      </c>
      <c r="FY23" s="208"/>
      <c r="FZ23" s="208" t="s">
        <v>81</v>
      </c>
      <c r="GA23" s="154">
        <v>122735.99288253055</v>
      </c>
      <c r="GB23" s="208" t="s">
        <v>81</v>
      </c>
      <c r="GE23" s="154" t="s">
        <v>65</v>
      </c>
      <c r="GF23" s="154" t="s">
        <v>126</v>
      </c>
      <c r="GG23" s="184" t="s">
        <v>266</v>
      </c>
      <c r="GH23" s="154" t="s">
        <v>126</v>
      </c>
      <c r="GI23" s="154" t="s">
        <v>65</v>
      </c>
      <c r="GJ23" s="154" t="s">
        <v>262</v>
      </c>
      <c r="GK23" s="154" t="s">
        <v>65</v>
      </c>
      <c r="GL23" s="154" t="s">
        <v>81</v>
      </c>
      <c r="GM23" s="154" t="s">
        <v>81</v>
      </c>
      <c r="GN23" s="154" t="s">
        <v>81</v>
      </c>
      <c r="GO23" s="154" t="s">
        <v>81</v>
      </c>
      <c r="GP23" s="154" t="s">
        <v>81</v>
      </c>
      <c r="GQ23" s="154" t="s">
        <v>81</v>
      </c>
      <c r="GR23" s="209" t="s">
        <v>81</v>
      </c>
      <c r="GS23" s="191"/>
      <c r="GT23" s="154" t="s">
        <v>81</v>
      </c>
      <c r="GU23" s="154" t="s">
        <v>81</v>
      </c>
      <c r="GV23" s="153" t="s">
        <v>81</v>
      </c>
      <c r="GW23" s="208" t="s">
        <v>81</v>
      </c>
      <c r="GX23" s="208" t="s">
        <v>81</v>
      </c>
      <c r="GY23" s="210" t="s">
        <v>81</v>
      </c>
      <c r="GZ23" s="210" t="s">
        <v>81</v>
      </c>
      <c r="HA23" s="208" t="s">
        <v>81</v>
      </c>
      <c r="HB23" s="157">
        <f ca="1">HN21+HQ21+GV21+FT21*FU21+GH17*GI17</f>
        <v>122735.99288252453</v>
      </c>
      <c r="HC23" s="208" t="s">
        <v>81</v>
      </c>
      <c r="HD23" s="154" t="s">
        <v>120</v>
      </c>
      <c r="HE23" s="154" t="s">
        <v>120</v>
      </c>
      <c r="HF23" s="154" t="s">
        <v>120</v>
      </c>
      <c r="HG23" s="154" t="s">
        <v>81</v>
      </c>
      <c r="HH23" s="154" t="s">
        <v>120</v>
      </c>
      <c r="HI23" s="154" t="s">
        <v>120</v>
      </c>
      <c r="HJ23" s="154" t="s">
        <v>120</v>
      </c>
      <c r="HK23" s="154" t="s">
        <v>120</v>
      </c>
      <c r="HL23" s="154" t="s">
        <v>120</v>
      </c>
      <c r="HM23" s="154" t="s">
        <v>81</v>
      </c>
      <c r="HN23" s="154" t="s">
        <v>120</v>
      </c>
      <c r="HP23" s="154" t="s">
        <v>120</v>
      </c>
      <c r="HQ23" s="154" t="s">
        <v>120</v>
      </c>
      <c r="HR23" s="154" t="s">
        <v>120</v>
      </c>
      <c r="HU23" s="208"/>
      <c r="HV23" s="208" t="s">
        <v>81</v>
      </c>
      <c r="HW23" s="208">
        <v>0</v>
      </c>
      <c r="HX23" s="208" t="s">
        <v>81</v>
      </c>
      <c r="HY23" s="156" t="s">
        <v>92</v>
      </c>
      <c r="HZ23" s="208"/>
      <c r="IA23" s="208" t="s">
        <v>81</v>
      </c>
      <c r="IB23" s="154">
        <v>108399.35689847839</v>
      </c>
      <c r="IC23" s="208" t="s">
        <v>81</v>
      </c>
      <c r="IF23" s="184" t="s">
        <v>256</v>
      </c>
      <c r="IG23" s="154" t="s">
        <v>126</v>
      </c>
      <c r="IH23" s="154" t="s">
        <v>126</v>
      </c>
      <c r="II23" s="154" t="s">
        <v>65</v>
      </c>
      <c r="IJ23" s="154" t="s">
        <v>65</v>
      </c>
      <c r="IK23" s="154" t="s">
        <v>262</v>
      </c>
      <c r="IL23" s="154" t="s">
        <v>126</v>
      </c>
      <c r="IM23" s="154" t="s">
        <v>65</v>
      </c>
      <c r="IN23" s="154" t="s">
        <v>81</v>
      </c>
      <c r="IO23" s="154" t="s">
        <v>81</v>
      </c>
      <c r="IP23" s="154" t="s">
        <v>81</v>
      </c>
      <c r="IQ23" s="154" t="s">
        <v>81</v>
      </c>
      <c r="IR23" s="154" t="s">
        <v>81</v>
      </c>
      <c r="IS23" s="154" t="s">
        <v>81</v>
      </c>
      <c r="IT23" s="209" t="s">
        <v>81</v>
      </c>
      <c r="IU23" s="191"/>
      <c r="IV23" s="154" t="s">
        <v>81</v>
      </c>
      <c r="IW23" s="154" t="s">
        <v>81</v>
      </c>
      <c r="IX23" s="153" t="s">
        <v>81</v>
      </c>
      <c r="IY23" s="208" t="s">
        <v>81</v>
      </c>
      <c r="IZ23" s="208" t="s">
        <v>81</v>
      </c>
      <c r="JA23" s="210" t="s">
        <v>81</v>
      </c>
      <c r="JB23" s="210" t="s">
        <v>81</v>
      </c>
      <c r="JC23" s="208" t="s">
        <v>81</v>
      </c>
      <c r="JD23" s="157">
        <f ca="1">JP21+JS21+IX21+HU21*HV21+II17*IJ17</f>
        <v>108399.35689847839</v>
      </c>
      <c r="JE23" s="208" t="s">
        <v>81</v>
      </c>
      <c r="JF23" s="154" t="s">
        <v>120</v>
      </c>
      <c r="JG23" s="154" t="s">
        <v>120</v>
      </c>
      <c r="JH23" s="154" t="s">
        <v>120</v>
      </c>
      <c r="JI23" s="154" t="s">
        <v>81</v>
      </c>
      <c r="JJ23" s="154" t="s">
        <v>120</v>
      </c>
      <c r="JK23" s="154" t="s">
        <v>120</v>
      </c>
      <c r="JL23" s="154" t="s">
        <v>120</v>
      </c>
      <c r="JM23" s="154" t="s">
        <v>120</v>
      </c>
      <c r="JN23" s="154" t="s">
        <v>120</v>
      </c>
      <c r="JO23" s="154" t="s">
        <v>81</v>
      </c>
      <c r="JP23" s="154" t="s">
        <v>120</v>
      </c>
      <c r="JR23" s="154" t="s">
        <v>120</v>
      </c>
      <c r="JS23" s="154" t="s">
        <v>120</v>
      </c>
      <c r="JT23" s="154" t="s">
        <v>120</v>
      </c>
      <c r="JW23" s="208"/>
      <c r="JX23" s="208" t="s">
        <v>81</v>
      </c>
      <c r="JY23" s="208">
        <v>0</v>
      </c>
      <c r="JZ23" s="208" t="s">
        <v>81</v>
      </c>
      <c r="KA23" s="156" t="s">
        <v>92</v>
      </c>
      <c r="KB23" s="208"/>
      <c r="KC23" s="208" t="s">
        <v>81</v>
      </c>
      <c r="KD23" s="154">
        <v>108399.35689847839</v>
      </c>
      <c r="KE23" s="208" t="s">
        <v>81</v>
      </c>
      <c r="KH23" s="184" t="s">
        <v>256</v>
      </c>
      <c r="KI23" s="154" t="s">
        <v>126</v>
      </c>
      <c r="KJ23" s="154" t="s">
        <v>126</v>
      </c>
      <c r="KK23" s="154" t="s">
        <v>65</v>
      </c>
      <c r="KL23" s="154" t="s">
        <v>65</v>
      </c>
      <c r="KM23" s="154" t="s">
        <v>262</v>
      </c>
      <c r="KN23" s="154" t="s">
        <v>126</v>
      </c>
      <c r="KO23" s="154" t="s">
        <v>65</v>
      </c>
      <c r="KP23" s="154" t="s">
        <v>81</v>
      </c>
      <c r="KQ23" s="154" t="s">
        <v>81</v>
      </c>
      <c r="KR23" s="154" t="s">
        <v>81</v>
      </c>
      <c r="KS23" s="154" t="s">
        <v>81</v>
      </c>
      <c r="KT23" s="154" t="s">
        <v>81</v>
      </c>
      <c r="KU23" s="154" t="s">
        <v>81</v>
      </c>
      <c r="KV23" s="209" t="s">
        <v>81</v>
      </c>
      <c r="KW23" s="191"/>
      <c r="KX23" s="154" t="s">
        <v>81</v>
      </c>
      <c r="KY23" s="154" t="s">
        <v>81</v>
      </c>
      <c r="KZ23" s="153" t="s">
        <v>81</v>
      </c>
      <c r="LA23" s="208" t="s">
        <v>81</v>
      </c>
      <c r="LB23" s="208" t="s">
        <v>81</v>
      </c>
      <c r="LC23" s="210" t="s">
        <v>81</v>
      </c>
      <c r="LD23" s="210" t="s">
        <v>81</v>
      </c>
      <c r="LE23" s="208" t="s">
        <v>81</v>
      </c>
      <c r="LF23" s="157">
        <f ca="1">LR21+LU21+KZ21+JW21*JX21+KK17*KL17</f>
        <v>108399.35689847839</v>
      </c>
      <c r="LG23" s="208" t="s">
        <v>81</v>
      </c>
      <c r="LH23" s="154" t="s">
        <v>120</v>
      </c>
      <c r="LI23" s="154" t="s">
        <v>120</v>
      </c>
      <c r="LJ23" s="154" t="s">
        <v>120</v>
      </c>
      <c r="LK23" s="154" t="s">
        <v>81</v>
      </c>
      <c r="LL23" s="154" t="s">
        <v>120</v>
      </c>
      <c r="LM23" s="154" t="s">
        <v>120</v>
      </c>
      <c r="LN23" s="154" t="s">
        <v>120</v>
      </c>
      <c r="LO23" s="154" t="s">
        <v>120</v>
      </c>
      <c r="LP23" s="154" t="s">
        <v>120</v>
      </c>
      <c r="LQ23" s="154" t="s">
        <v>81</v>
      </c>
      <c r="LR23" s="154" t="s">
        <v>120</v>
      </c>
      <c r="LT23" s="154" t="s">
        <v>120</v>
      </c>
      <c r="LU23" s="154" t="s">
        <v>120</v>
      </c>
      <c r="LV23" s="154" t="s">
        <v>120</v>
      </c>
      <c r="LY23" s="208"/>
      <c r="LZ23" s="208" t="s">
        <v>81</v>
      </c>
      <c r="MA23" s="208">
        <v>0</v>
      </c>
      <c r="MB23" s="208" t="s">
        <v>81</v>
      </c>
      <c r="MC23" s="156" t="s">
        <v>92</v>
      </c>
      <c r="MD23" s="208"/>
      <c r="ME23" s="208" t="s">
        <v>81</v>
      </c>
      <c r="MF23" s="154">
        <v>122853.69253865894</v>
      </c>
      <c r="MG23" s="208" t="s">
        <v>81</v>
      </c>
      <c r="MJ23" s="154" t="s">
        <v>65</v>
      </c>
      <c r="MK23" s="154" t="s">
        <v>126</v>
      </c>
      <c r="ML23" s="184" t="s">
        <v>266</v>
      </c>
      <c r="MM23" s="154" t="s">
        <v>126</v>
      </c>
      <c r="MN23" s="154" t="s">
        <v>65</v>
      </c>
      <c r="MO23" s="154" t="s">
        <v>262</v>
      </c>
      <c r="MP23" s="154" t="s">
        <v>65</v>
      </c>
      <c r="MQ23" s="154" t="s">
        <v>81</v>
      </c>
      <c r="MR23" s="154" t="s">
        <v>81</v>
      </c>
      <c r="MS23" s="154" t="s">
        <v>81</v>
      </c>
      <c r="MT23" s="154" t="s">
        <v>81</v>
      </c>
      <c r="MU23" s="154" t="s">
        <v>81</v>
      </c>
      <c r="MV23" s="154" t="s">
        <v>81</v>
      </c>
      <c r="MW23" s="209" t="s">
        <v>81</v>
      </c>
      <c r="MX23" s="191"/>
      <c r="MY23" s="154" t="s">
        <v>81</v>
      </c>
      <c r="MZ23" s="154" t="s">
        <v>81</v>
      </c>
      <c r="NA23" s="153" t="s">
        <v>81</v>
      </c>
      <c r="NB23" s="208" t="s">
        <v>81</v>
      </c>
      <c r="NC23" s="208" t="s">
        <v>81</v>
      </c>
      <c r="ND23" s="210" t="s">
        <v>81</v>
      </c>
      <c r="NE23" s="210" t="s">
        <v>81</v>
      </c>
      <c r="NF23" s="208" t="s">
        <v>81</v>
      </c>
      <c r="NG23" s="157">
        <f ca="1">NS21+NV21+NA21+LY21*LZ21+MM17*MN17</f>
        <v>122853.69157689523</v>
      </c>
      <c r="NH23" s="208" t="s">
        <v>81</v>
      </c>
      <c r="NI23" s="154" t="s">
        <v>120</v>
      </c>
      <c r="NJ23" s="154" t="s">
        <v>120</v>
      </c>
      <c r="NK23" s="154" t="s">
        <v>120</v>
      </c>
      <c r="NL23" s="154" t="s">
        <v>81</v>
      </c>
      <c r="NM23" s="154" t="s">
        <v>120</v>
      </c>
      <c r="NN23" s="154" t="s">
        <v>120</v>
      </c>
      <c r="NO23" s="154" t="s">
        <v>120</v>
      </c>
      <c r="NP23" s="154" t="s">
        <v>120</v>
      </c>
      <c r="NQ23" s="154" t="s">
        <v>120</v>
      </c>
      <c r="NR23" s="154" t="s">
        <v>81</v>
      </c>
      <c r="NS23" s="154" t="s">
        <v>120</v>
      </c>
      <c r="NT23" s="154" t="s">
        <v>81</v>
      </c>
      <c r="NU23" s="154" t="s">
        <v>120</v>
      </c>
      <c r="NV23" s="154" t="s">
        <v>120</v>
      </c>
      <c r="NW23" s="154" t="s">
        <v>120</v>
      </c>
    </row>
    <row r="24" spans="1:392" ht="13" x14ac:dyDescent="0.3">
      <c r="A24" s="154">
        <v>0</v>
      </c>
      <c r="B24" s="154">
        <f>B25</f>
        <v>-20.5</v>
      </c>
      <c r="C24" s="154">
        <f>MAX($C$21*($C$19-B24)+B24,B24)</f>
        <v>-20.5</v>
      </c>
      <c r="F24" s="181">
        <f>$F$21*(J24-B24)</f>
        <v>3660.3</v>
      </c>
      <c r="G24" s="161">
        <f>(A24-A23)/100*8760</f>
        <v>0</v>
      </c>
      <c r="H24" s="154">
        <f>F24/1000</f>
        <v>3.6603000000000003</v>
      </c>
      <c r="I24" s="161">
        <f>G24*(J24-B24)</f>
        <v>0</v>
      </c>
      <c r="J24" s="181">
        <f>$FX$3*GD24+$HY$3*IE24+$KA$3*KG24+$MC$3*MI24</f>
        <v>21</v>
      </c>
      <c r="K24" s="181">
        <f>$FX$3*GE24+$HY$3*II24+$KA$3*KK24+$MC$3*MJ24</f>
        <v>13.584745762711865</v>
      </c>
      <c r="L24" s="181">
        <f>$FX$3*GF24+$HY$3*IG24+$KA$3*KI24+$MC$3*MK24</f>
        <v>0</v>
      </c>
      <c r="M24" s="181">
        <f>$FX$3*GG24+$HY$3*IF24+$KA$3*KH24+$MC$3*ML24</f>
        <v>-20.5</v>
      </c>
      <c r="N24" s="181">
        <f>$FX$3*GH24+$HY$3*IH24+$KA$3*KJ24+$MC$3*MM24</f>
        <v>-5.3773584905660368</v>
      </c>
      <c r="O24" s="181">
        <f>$FX$3*GI24+$HY$3*IJ24+$KA$3*KL24+$MC$3*MN24</f>
        <v>-5.3773584905660368</v>
      </c>
      <c r="P24" s="181">
        <f>$FX$3*GJ24+$HY$3*IK24+$KA$3*KM24+$MC$3*MO24</f>
        <v>15</v>
      </c>
      <c r="Q24" s="181">
        <f>N24+AD24*1000/(1.2*$GA$15)</f>
        <v>0.12578616352201433</v>
      </c>
      <c r="R24" s="168">
        <f>AF24*G24</f>
        <v>0</v>
      </c>
      <c r="S24" s="161">
        <f>X24*G24</f>
        <v>0</v>
      </c>
      <c r="T24" s="161">
        <f>M24+Y24*1000/(1.2*$GA$15)</f>
        <v>93.400124924614474</v>
      </c>
      <c r="U24" s="161">
        <f>M24+X24*1000/(1.2*$GA$15)</f>
        <v>85.079370207633332</v>
      </c>
      <c r="V24" s="154">
        <f>($FX$3*GN24+$HY$3*IP24+$KA$3*KR24+$MC$3*MS24)/(1000)</f>
        <v>1.296</v>
      </c>
      <c r="W24" s="154">
        <f>Y24-AG24-AA24-AF24</f>
        <v>4.8780479452054788</v>
      </c>
      <c r="X24" s="154">
        <f>MAX((Y24-AA24),AB24)</f>
        <v>6.714847945205479</v>
      </c>
      <c r="Y24" s="154">
        <f>H24+Z24+AC24</f>
        <v>7.2440479452054793</v>
      </c>
      <c r="Z24" s="154">
        <f>($FX$3*GM24+$HY$3*IO24+$KA$3*KQ24+$MC$3*MR24)/(1000)</f>
        <v>2.9381999999999997</v>
      </c>
      <c r="AA24" s="154">
        <f>($FX$3*GT24+$HY$3*IV24+$KA$3*KX24+$MC$3*MY24)/(1000)</f>
        <v>0.52919999999999989</v>
      </c>
      <c r="AB24" s="154">
        <f t="shared" ref="AB24:AB55" si="26">($FX$3*GV24+$HY$3*IX24+$KA$3*KZ24+$MC$3*NA24)/(1000)</f>
        <v>5.7530479452054797</v>
      </c>
      <c r="AC24" s="154">
        <f t="shared" ref="AC24:AC55" si="27">($FX$3*GU24+$HY$3*IW24+$KA$3*KY24+$MC$3*MZ24)/(1000)</f>
        <v>0.64554794520547942</v>
      </c>
      <c r="AD24" s="154">
        <f t="shared" ref="AD24:AD55" si="28">($FX$3*HA24+$HY$3*JC24+$KA$3*LE24+$MC$3*NF24)/(1000)</f>
        <v>0.35</v>
      </c>
      <c r="AE24" s="154">
        <f t="shared" ref="AE24:AE55" si="29">($FX$3*HB24+$HY$3*JD24+$KA$3*LF24+$MC$3*NG24)/(1000)</f>
        <v>0.52500000000000002</v>
      </c>
      <c r="AF24" s="154">
        <f t="shared" ref="AF24:AF55" si="30">($FX$3*HC24+$HY$3*JE24+$KA$3*LG24+$MC$3*NH24)/(1000)</f>
        <v>0.875</v>
      </c>
      <c r="AG24" s="154">
        <f>($FX$3*GL24+$HY$3*IN24+$KA$3*KP24+$MC$3*MQ24)/(1000)</f>
        <v>0.96179999999999999</v>
      </c>
      <c r="AH24" s="154">
        <f>AG24+AF24</f>
        <v>1.8368</v>
      </c>
      <c r="AI24" s="154">
        <f>AL24/1000*$AL$21</f>
        <v>0.58732876712328763</v>
      </c>
      <c r="AJ24" s="154">
        <f>AM24/1000*$AM$21</f>
        <v>5.8219178082191785E-2</v>
      </c>
      <c r="AK24" s="154">
        <f>AN24/1000*$AN$21</f>
        <v>0</v>
      </c>
      <c r="AL24" s="161">
        <f>$AL$18</f>
        <v>587.32876712328766</v>
      </c>
      <c r="AM24" s="161">
        <f>$AN$18</f>
        <v>58.219178082191782</v>
      </c>
      <c r="AN24" s="161">
        <f>$AN$19</f>
        <v>0</v>
      </c>
      <c r="AO24" s="161"/>
      <c r="AP24" s="154">
        <f>AI24+AJ24</f>
        <v>0.64554794520547942</v>
      </c>
      <c r="AQ24" s="154">
        <f>AP24+AK24</f>
        <v>0.64554794520547942</v>
      </c>
      <c r="AR24" s="154">
        <f>AH24+V24</f>
        <v>3.1328</v>
      </c>
      <c r="AS24" s="161"/>
      <c r="AT24" s="161"/>
      <c r="AU24" s="161"/>
      <c r="AV24" s="161"/>
      <c r="AW24" s="181"/>
      <c r="AX24" s="181"/>
      <c r="AY24" s="181"/>
      <c r="AZ24" s="181"/>
      <c r="BA24" s="181"/>
      <c r="BB24" s="181"/>
      <c r="BC24" s="161"/>
      <c r="BD24" s="161"/>
      <c r="BE24" s="181"/>
      <c r="BF24" s="168"/>
      <c r="BG24" s="181"/>
      <c r="BH24" s="168"/>
      <c r="BI24" s="168"/>
      <c r="BJ24" s="161"/>
      <c r="BK24" s="168"/>
      <c r="BL24" s="168"/>
      <c r="BM24" s="168"/>
      <c r="BN24" s="168"/>
      <c r="BO24" s="168">
        <f>AL24/1000*$G24</f>
        <v>0</v>
      </c>
      <c r="BP24" s="168">
        <f t="shared" ref="BP24:BQ24" si="31">AM24/1000*$G24</f>
        <v>0</v>
      </c>
      <c r="BQ24" s="168">
        <f t="shared" si="31"/>
        <v>0</v>
      </c>
      <c r="BR24" s="181"/>
      <c r="BS24" s="161"/>
      <c r="BT24" s="168"/>
      <c r="BU24" s="161"/>
      <c r="BV24" s="161"/>
      <c r="BW24" s="161"/>
      <c r="BX24" s="161"/>
      <c r="CB24" s="181">
        <f>CB$23*$E24*CB$21*CB$20</f>
        <v>0</v>
      </c>
      <c r="CC24" s="181">
        <f t="shared" ref="CC24:CI39" si="32">CC$23*$E24*CC$21*CC$20</f>
        <v>0</v>
      </c>
      <c r="CD24" s="181">
        <f t="shared" si="32"/>
        <v>0</v>
      </c>
      <c r="CE24" s="181">
        <f t="shared" si="32"/>
        <v>0</v>
      </c>
      <c r="CF24" s="181">
        <f t="shared" si="32"/>
        <v>0</v>
      </c>
      <c r="CG24" s="181">
        <f t="shared" si="32"/>
        <v>0</v>
      </c>
      <c r="CH24" s="181">
        <f t="shared" si="32"/>
        <v>0</v>
      </c>
      <c r="CI24" s="181">
        <f t="shared" si="32"/>
        <v>0</v>
      </c>
      <c r="CJ24" s="182">
        <f>SUM(CB24:CI24)</f>
        <v>0</v>
      </c>
      <c r="CK24" s="161">
        <f>CJ24*24/(MAX($CB$12,10))</f>
        <v>0</v>
      </c>
      <c r="CL24" s="161">
        <f>'PILP-laskin'!C27*$CB$11/$CB$10</f>
        <v>529.19999999999993</v>
      </c>
      <c r="CM24" s="182">
        <f>CK24+CL24</f>
        <v>529.19999999999993</v>
      </c>
      <c r="CN24" s="157">
        <f>CJ24*G24/1000</f>
        <v>0</v>
      </c>
      <c r="CO24" s="162">
        <f>CM24</f>
        <v>529.19999999999993</v>
      </c>
      <c r="FT24" s="203">
        <f>FT21</f>
        <v>2.5</v>
      </c>
      <c r="FU24" s="182">
        <f>FU21</f>
        <v>350</v>
      </c>
      <c r="FV24" s="161">
        <f t="shared" ref="FV24:FV57" si="33">FU24*(FT24-1+1E-50)</f>
        <v>525</v>
      </c>
      <c r="FW24" s="161">
        <f>FT24*FU24</f>
        <v>875</v>
      </c>
      <c r="FX24" s="161">
        <v>0</v>
      </c>
      <c r="FY24" s="168">
        <f>FT24</f>
        <v>2.5</v>
      </c>
      <c r="FZ24" s="154">
        <v>350</v>
      </c>
      <c r="GA24" s="161">
        <v>525</v>
      </c>
      <c r="GB24" s="161">
        <v>875</v>
      </c>
      <c r="GC24" s="168">
        <f>$GC$21</f>
        <v>0.56785714285714284</v>
      </c>
      <c r="GD24" s="154">
        <f>MAX($GD$21,GG24)</f>
        <v>21</v>
      </c>
      <c r="GE24" s="181">
        <f>MAX(GD24-GA24/(1.2*$GA$14),GK24)</f>
        <v>13.584745762711865</v>
      </c>
      <c r="GF24" s="181">
        <f t="shared" ref="GF24:GF57" si="34">MAX(GE24-GC24*(GE24-GG24),$GI$17)</f>
        <v>0</v>
      </c>
      <c r="GG24" s="154">
        <f>$C24</f>
        <v>-20.5</v>
      </c>
      <c r="GH24" s="181">
        <f>MIN(GG24+$GA$14/$GA$15*(GE24-GF24),$GJ$17)</f>
        <v>-5.3773584905660368</v>
      </c>
      <c r="GI24" s="181">
        <f>GH24+GB24/(1.2*$GA$15)</f>
        <v>8.3805031446540905</v>
      </c>
      <c r="GJ24" s="181">
        <f>MAX(GI24,$GL$17)</f>
        <v>15</v>
      </c>
      <c r="GK24" s="181">
        <f>($FT$9=1)*$GH$17+($FT$9=0)*MAX($GH$17,GG24)</f>
        <v>0</v>
      </c>
      <c r="GL24" s="157">
        <f>1.2*$GA$14*(GE24-GF24)</f>
        <v>961.8</v>
      </c>
      <c r="GM24" s="157">
        <f>1.2*$GA$14*(GD24-B24)</f>
        <v>2938.2</v>
      </c>
      <c r="GN24" s="157">
        <f>1.2*$GA$15*(GJ24-GI24)</f>
        <v>420.99999999999983</v>
      </c>
      <c r="GO24" s="157">
        <f>GM24-GL24-GN24</f>
        <v>1555.4</v>
      </c>
      <c r="GP24" s="157">
        <f>$F24</f>
        <v>3660.3</v>
      </c>
      <c r="GQ24" s="157">
        <f>$CO24</f>
        <v>529.19999999999993</v>
      </c>
      <c r="GR24" s="157">
        <f>GP24+GO24</f>
        <v>5215.7000000000007</v>
      </c>
      <c r="GS24" s="200">
        <f>MIN(1/(GQ24/(GR24+1E-50)+1E-50),1)</f>
        <v>1</v>
      </c>
      <c r="GT24" s="157">
        <f>GS24*GQ24</f>
        <v>529.19999999999993</v>
      </c>
      <c r="GU24" s="157">
        <f>($AN$21=1)*AN24+($AL$21=1)*AL24+($AM$21=1)*AM24</f>
        <v>645.54794520547944</v>
      </c>
      <c r="GV24" s="162">
        <f>MAX(GM24+GP24+GU24-GT24-GL24,1.2*$GA$15*($GL$17-GH24))</f>
        <v>5753.0479452054797</v>
      </c>
      <c r="GW24" s="157">
        <f>MIN(FW24,GV24)</f>
        <v>875</v>
      </c>
      <c r="GX24" s="157">
        <f>MIN(1.2*$GA$14*(GD24-GK24),FV24)</f>
        <v>525</v>
      </c>
      <c r="GY24" s="207">
        <f t="shared" ref="GY24:GY56" si="35">GW24/FY24</f>
        <v>350</v>
      </c>
      <c r="GZ24" s="207">
        <f>GX24/(FY24-1+1E-50)</f>
        <v>350</v>
      </c>
      <c r="HA24" s="157">
        <f>HA$22*MIN(GY24:GZ24)+(1-HA$22)*FZ24</f>
        <v>350</v>
      </c>
      <c r="HB24" s="157">
        <f t="shared" ref="HB24:HB57" si="36">HA24*(FY24-1)</f>
        <v>525</v>
      </c>
      <c r="HC24" s="157">
        <f t="shared" ref="HC24:HC57" si="37">HA24*FY24</f>
        <v>875</v>
      </c>
      <c r="HD24" s="168">
        <f t="shared" ref="HD24:HD57" si="38">HA24/1000*$FX24</f>
        <v>0</v>
      </c>
      <c r="HE24" s="168">
        <f>HB24/1000*$FX24</f>
        <v>0</v>
      </c>
      <c r="HF24" s="168">
        <f t="shared" ref="HF24:HF57" si="39">HC24/1000*$FX24</f>
        <v>0</v>
      </c>
      <c r="HG24" s="157">
        <f>(GV24-HC24)</f>
        <v>4878.0479452054797</v>
      </c>
      <c r="HH24" s="168">
        <f>GN24/1000*$FX24</f>
        <v>0</v>
      </c>
      <c r="HI24" s="168">
        <f>GT24/1000*$FX24</f>
        <v>0</v>
      </c>
      <c r="HJ24" s="168">
        <f>GV24/1000*$FX24</f>
        <v>0</v>
      </c>
      <c r="HK24" s="168">
        <f>(HG24&gt;0)*HG24/1000*$FX24</f>
        <v>0</v>
      </c>
      <c r="HL24" s="168">
        <f>(GP24+GM24+GU24)/1000*$FX24</f>
        <v>0</v>
      </c>
      <c r="HM24" s="157">
        <f>MAX(1.2*$GA$15*(GJ24-GG24)-GL24,0)</f>
        <v>1295.9999999999998</v>
      </c>
      <c r="HN24" s="168">
        <f>HB24/1000*$FX24</f>
        <v>0</v>
      </c>
      <c r="HP24" s="168">
        <f>GM24/1000*$FX24</f>
        <v>0</v>
      </c>
      <c r="HQ24" s="168">
        <f>(GM24-GL24)/1000*$FX24</f>
        <v>0</v>
      </c>
      <c r="HR24" s="181"/>
      <c r="HU24" s="203">
        <f>$HU$21</f>
        <v>2.5</v>
      </c>
      <c r="HV24" s="182">
        <f>$HV$21</f>
        <v>350</v>
      </c>
      <c r="HW24" s="161">
        <f t="shared" ref="HW24:HW57" si="40">HV24*(HU24-1+1E-50)</f>
        <v>525</v>
      </c>
      <c r="HX24" s="161">
        <f t="shared" ref="HX24:HX57" si="41">HU24*HV24</f>
        <v>875</v>
      </c>
      <c r="HY24" s="161">
        <v>0</v>
      </c>
      <c r="HZ24" s="168">
        <f>HU24</f>
        <v>2.5</v>
      </c>
      <c r="IA24" s="154">
        <v>0</v>
      </c>
      <c r="IB24" s="161">
        <v>0</v>
      </c>
      <c r="IC24" s="161">
        <v>0</v>
      </c>
      <c r="ID24" s="203">
        <f>$ID$21</f>
        <v>0.56785714285714284</v>
      </c>
      <c r="IE24" s="154">
        <f>MAX($IE$21,IF24)</f>
        <v>21</v>
      </c>
      <c r="IF24" s="154">
        <f>$C24</f>
        <v>-20.5</v>
      </c>
      <c r="IG24" s="181">
        <f>MAX(IE24-ID24*(IE24-IF24),IL24)</f>
        <v>0</v>
      </c>
      <c r="IH24" s="181">
        <f>IF24+$GA$14/$GA$15*(IE24-IG24)</f>
        <v>2.8773584905660385</v>
      </c>
      <c r="II24" s="181">
        <f>MAX(IG24-IA24*(HZ24-1)/(1.2*$GA$14),IM24)</f>
        <v>0</v>
      </c>
      <c r="IJ24" s="181">
        <f>IH24+HZ24*IA24/(1.2*$GA$15)</f>
        <v>2.8773584905660385</v>
      </c>
      <c r="IK24" s="181">
        <f>MAX(IJ24,$IM$17)</f>
        <v>15</v>
      </c>
      <c r="IL24" s="181">
        <f>$IJ$17</f>
        <v>0</v>
      </c>
      <c r="IM24" s="181">
        <f>($FT$9=1)*$II$17+($FT$9=0)*MAX($II$17,IF24)</f>
        <v>0</v>
      </c>
      <c r="IN24" s="157">
        <f>1.2*$GA$14*(IE24-IG24)</f>
        <v>1486.8</v>
      </c>
      <c r="IO24" s="157">
        <f>1.2*$GA$14*(IE24-B24)</f>
        <v>2938.2</v>
      </c>
      <c r="IP24" s="157">
        <f t="shared" ref="IP24:IP74" si="42">MAX(1.2*$GA$15*($IM$17-IJ24),0)</f>
        <v>770.99999999999989</v>
      </c>
      <c r="IQ24" s="157">
        <f t="shared" ref="IQ24:IQ74" si="43">IO24-IN24-IP24</f>
        <v>680.4</v>
      </c>
      <c r="IR24" s="157">
        <f>$F24</f>
        <v>3660.3</v>
      </c>
      <c r="IS24" s="157">
        <f>$CO24</f>
        <v>529.19999999999993</v>
      </c>
      <c r="IT24" s="157">
        <f>IR24+IQ24</f>
        <v>4340.7</v>
      </c>
      <c r="IU24" s="200">
        <f>MIN(1/(IS24/(IT24+1E-50)+1E-50),1)</f>
        <v>1</v>
      </c>
      <c r="IV24" s="157">
        <f>IU24*IS24</f>
        <v>529.19999999999993</v>
      </c>
      <c r="IW24" s="157">
        <f>($AN$21=1)*AN24+($AL$21=1)*AL24+($AM$21=1)*AM24</f>
        <v>645.54794520547944</v>
      </c>
      <c r="IX24" s="162">
        <f>MAX(IO24+IR24+IW24-IV24-IN24,1.2*$GA$15*($IM$17-IH24))</f>
        <v>5228.0479452054797</v>
      </c>
      <c r="IY24" s="157">
        <f t="shared" si="22"/>
        <v>875</v>
      </c>
      <c r="IZ24" s="157">
        <f>MIN(1.2*$GA$14*(IG24-IM24),HW24)</f>
        <v>0</v>
      </c>
      <c r="JA24" s="207">
        <f>IY24/HZ24</f>
        <v>350</v>
      </c>
      <c r="JB24" s="207">
        <f>IZ24/(HZ24-1+1E-50)</f>
        <v>0</v>
      </c>
      <c r="JC24" s="157">
        <f>JC$22*MIN(JA24:JB24)+(1-JC$22)*IA24</f>
        <v>0</v>
      </c>
      <c r="JD24" s="157">
        <f>JC24*(HZ24-1)</f>
        <v>0</v>
      </c>
      <c r="JE24" s="157">
        <f>JC24*HZ24</f>
        <v>0</v>
      </c>
      <c r="JF24" s="168">
        <f>JC24/1000*$HY24</f>
        <v>0</v>
      </c>
      <c r="JG24" s="168">
        <f>JD24/1000*$HY24</f>
        <v>0</v>
      </c>
      <c r="JH24" s="168">
        <f>JE24/1000*$HY24</f>
        <v>0</v>
      </c>
      <c r="JI24" s="157">
        <f>(IX24-JE24)</f>
        <v>5228.0479452054797</v>
      </c>
      <c r="JJ24" s="168">
        <f>IP24/1000*$HY24</f>
        <v>0</v>
      </c>
      <c r="JK24" s="168">
        <f>IV24/1000*$HY24</f>
        <v>0</v>
      </c>
      <c r="JL24" s="168">
        <f>IX24/1000*$HY24</f>
        <v>0</v>
      </c>
      <c r="JM24" s="168">
        <f>(JI24&gt;0)*JI24/1000*$HY24</f>
        <v>0</v>
      </c>
      <c r="JN24" s="168">
        <f>(IR24+IO24+IW24)/1000*$HY24</f>
        <v>0</v>
      </c>
      <c r="JO24" s="157">
        <f>MAX(1.2*$GA$15*($IM$17-IF24)-IN24,0)</f>
        <v>770.99999999999977</v>
      </c>
      <c r="JP24" s="168">
        <f>JD24/1000*$HY24</f>
        <v>0</v>
      </c>
      <c r="JR24" s="168">
        <f>IO24/1000*$HY24</f>
        <v>0</v>
      </c>
      <c r="JS24" s="168">
        <f>(IO24-IN24)/1000*$HY24</f>
        <v>0</v>
      </c>
      <c r="JT24" s="181"/>
      <c r="JW24" s="203">
        <f>$HU$21</f>
        <v>2.5</v>
      </c>
      <c r="JX24" s="182">
        <f>$HV$21</f>
        <v>350</v>
      </c>
      <c r="JY24" s="161">
        <f t="shared" ref="JY24:JY57" si="44">JX24*(JW24-1+1E-50)</f>
        <v>525</v>
      </c>
      <c r="JZ24" s="161">
        <f t="shared" ref="JZ24:JZ57" si="45">JW24*JX24</f>
        <v>875</v>
      </c>
      <c r="KA24" s="161">
        <v>0</v>
      </c>
      <c r="KB24" s="168">
        <f>JW24</f>
        <v>2.5</v>
      </c>
      <c r="KC24" s="154">
        <v>0</v>
      </c>
      <c r="KD24" s="161">
        <v>0</v>
      </c>
      <c r="KE24" s="161">
        <v>0</v>
      </c>
      <c r="KF24" s="203">
        <f>$ID$21</f>
        <v>0.56785714285714284</v>
      </c>
      <c r="KG24" s="154">
        <f>MAX($KG$21,KH24)</f>
        <v>21</v>
      </c>
      <c r="KH24" s="154">
        <f>$C24</f>
        <v>-20.5</v>
      </c>
      <c r="KI24" s="181">
        <f>MAX(KG24-KF24*(KG24-KH24),KN24)</f>
        <v>0</v>
      </c>
      <c r="KJ24" s="181">
        <f>KH24+$GA$14/$GA$15*(KG24-KI24)</f>
        <v>2.8773584905660385</v>
      </c>
      <c r="KK24" s="181">
        <f>MAX(KI24-KC24*(KB24-1)/(1.2*$GA$14),KO24)</f>
        <v>0</v>
      </c>
      <c r="KL24" s="181">
        <f>KJ24+0*(KJ24+KB24*KC24/(1.2*$GA$15))</f>
        <v>2.8773584905660385</v>
      </c>
      <c r="KM24" s="181">
        <f>MAX(KL24,$IM$17)</f>
        <v>15</v>
      </c>
      <c r="KN24" s="181">
        <f>$IJ$17</f>
        <v>0</v>
      </c>
      <c r="KO24" s="181">
        <f>($FT$9=1)*$KK$17+($FT$9=0)*MAX($KK$17,KH24)</f>
        <v>0</v>
      </c>
      <c r="KP24" s="157">
        <f>1.2*$GA$14*(KG24-KI24)</f>
        <v>1486.8</v>
      </c>
      <c r="KQ24" s="157">
        <f t="shared" ref="KQ24:KQ74" si="46">1.2*$GA$14*(KG24-B24)</f>
        <v>2938.2</v>
      </c>
      <c r="KR24" s="157">
        <f>1.2*$GA$15*(KM24-KL24)</f>
        <v>770.99999999999989</v>
      </c>
      <c r="KS24" s="157">
        <f>KQ24-KP24-KR24</f>
        <v>680.4</v>
      </c>
      <c r="KT24" s="157">
        <f>$F24</f>
        <v>3660.3</v>
      </c>
      <c r="KU24" s="157">
        <f>$CO24</f>
        <v>529.19999999999993</v>
      </c>
      <c r="KV24" s="157">
        <f>KT24+KS24</f>
        <v>4340.7</v>
      </c>
      <c r="KW24" s="200">
        <f>MIN(1/(KU24/(KV24+1E-50)+1E-50),1)</f>
        <v>1</v>
      </c>
      <c r="KX24" s="157">
        <f>KW24*KU24</f>
        <v>529.19999999999993</v>
      </c>
      <c r="KY24" s="157">
        <f>($AN$21=1)*AN24+($AL$21=1)*AL24+($AM$21=1)*AM24</f>
        <v>645.54794520547944</v>
      </c>
      <c r="KZ24" s="162">
        <f t="shared" ref="KZ24:KZ74" si="47">MAX(KQ24+KT24+KY24-KX24-KP24,1.2*$GA$15*($KO$17-KJ24))</f>
        <v>5228.0479452054797</v>
      </c>
      <c r="LA24" s="157">
        <f>MIN(JZ24,KZ24-$KP$17*KR24)</f>
        <v>875</v>
      </c>
      <c r="LB24" s="157">
        <f>MIN(1.2*$GA$14*(KI24-KO24),JY24)</f>
        <v>0</v>
      </c>
      <c r="LC24" s="207">
        <f>LA24/KB24</f>
        <v>350</v>
      </c>
      <c r="LD24" s="207">
        <f>LB24/(KB24-1+1E-50)</f>
        <v>0</v>
      </c>
      <c r="LE24" s="157">
        <f>LE$22*MIN(LC24:LD24)+(1-LE$22)*KC24</f>
        <v>0</v>
      </c>
      <c r="LF24" s="157">
        <f>LE24*(KB24-1)</f>
        <v>0</v>
      </c>
      <c r="LG24" s="157">
        <f>LE24*KB24</f>
        <v>0</v>
      </c>
      <c r="LH24" s="168">
        <f>LE24/1000*$KA24</f>
        <v>0</v>
      </c>
      <c r="LI24" s="168">
        <f>LF24/1000*$KA24</f>
        <v>0</v>
      </c>
      <c r="LJ24" s="168">
        <f>LG24/1000*$KA24</f>
        <v>0</v>
      </c>
      <c r="LK24" s="157">
        <f>(KZ24-LG24)</f>
        <v>5228.0479452054797</v>
      </c>
      <c r="LL24" s="168">
        <f>KR24/1000*$KA24</f>
        <v>0</v>
      </c>
      <c r="LM24" s="168">
        <f>KX24/1000*$KA24</f>
        <v>0</v>
      </c>
      <c r="LN24" s="168">
        <f>KZ24/1000*$KA24</f>
        <v>0</v>
      </c>
      <c r="LO24" s="168">
        <f>(LK24&gt;0)*LK24/1000*$KA24</f>
        <v>0</v>
      </c>
      <c r="LP24" s="168">
        <f>(KT24+KQ24+KY24)/1000*$KA24</f>
        <v>0</v>
      </c>
      <c r="LQ24" s="157">
        <f>MAX(1.2*$GA$15*($KO$17-KH24)-KP24,0)</f>
        <v>770.99999999999977</v>
      </c>
      <c r="LR24" s="168">
        <f>LF24/1000*$KA24</f>
        <v>0</v>
      </c>
      <c r="LT24" s="168">
        <f>KQ24/1000*$KA24</f>
        <v>0</v>
      </c>
      <c r="LU24" s="168">
        <f>(KQ24-KP24)/1000*$KA24</f>
        <v>0</v>
      </c>
      <c r="LV24" s="181"/>
      <c r="LY24" s="203">
        <f>$LY$21</f>
        <v>2.5</v>
      </c>
      <c r="LZ24" s="182">
        <f>$LZ$21</f>
        <v>350</v>
      </c>
      <c r="MA24" s="161">
        <f t="shared" ref="MA24:MA57" si="48">LZ24*(LY24-1+1E-50)</f>
        <v>525</v>
      </c>
      <c r="MB24" s="161">
        <f t="shared" ref="MB24:MB57" si="49">LY24*LZ24</f>
        <v>875</v>
      </c>
      <c r="MC24" s="161">
        <v>0</v>
      </c>
      <c r="MD24" s="168">
        <f>LY24</f>
        <v>2.5</v>
      </c>
      <c r="ME24" s="154">
        <v>350</v>
      </c>
      <c r="MF24" s="161">
        <v>525</v>
      </c>
      <c r="MG24" s="161">
        <v>875</v>
      </c>
      <c r="MH24" s="203">
        <f>$MH$21</f>
        <v>0.56785714285714284</v>
      </c>
      <c r="MI24" s="154">
        <f>MAX($MI$21,ML24)</f>
        <v>21</v>
      </c>
      <c r="MJ24" s="181">
        <f>MAX(MI24-MF24/(1.2*$GA$14),MP24)</f>
        <v>13.584745762711865</v>
      </c>
      <c r="MK24" s="181">
        <f>MAX(MJ24-MH24*(MJ24-ML24),$MN$17)</f>
        <v>0</v>
      </c>
      <c r="ML24" s="154">
        <f>$C24</f>
        <v>-20.5</v>
      </c>
      <c r="MM24" s="181">
        <f>MIN(ML24+$GA$14/$GA$15*(MJ24-MK24),$MO$17)</f>
        <v>-5.3773584905660368</v>
      </c>
      <c r="MN24" s="181">
        <f>MM24+0*(MM24+MG24/(1.2*$GA$15))</f>
        <v>-5.3773584905660368</v>
      </c>
      <c r="MO24" s="181">
        <f>MAX(MN24,$MQ$17)</f>
        <v>15</v>
      </c>
      <c r="MP24" s="181">
        <f>($FT$9=1)*$MM$17+($FT$9=0)*MAX($MM$17,ML24)</f>
        <v>0</v>
      </c>
      <c r="MQ24" s="157">
        <f t="shared" ref="MQ24:MQ57" si="50">1.2*$GA$14*(MJ24-MK24)</f>
        <v>961.8</v>
      </c>
      <c r="MR24" s="157">
        <f>1.2*$GA$14*(MI24-B24)</f>
        <v>2938.2</v>
      </c>
      <c r="MS24" s="157">
        <f>1.2*$GA$15*(MO24-MN24)</f>
        <v>1296</v>
      </c>
      <c r="MT24" s="157">
        <f>MR24-MQ24-MS24</f>
        <v>680.39999999999986</v>
      </c>
      <c r="MU24" s="157">
        <f>$F24</f>
        <v>3660.3</v>
      </c>
      <c r="MV24" s="157">
        <f>$CO24</f>
        <v>529.19999999999993</v>
      </c>
      <c r="MW24" s="157">
        <f>MU24+MT24</f>
        <v>4340.7</v>
      </c>
      <c r="MX24" s="200">
        <f>MIN(1/(MV24/(MW24+1E-50)+1E-50),1)</f>
        <v>1</v>
      </c>
      <c r="MY24" s="157">
        <f>MX24*MV24</f>
        <v>529.19999999999993</v>
      </c>
      <c r="MZ24" s="157">
        <f>($AN$21=1)*AN24+($AL$21=1)*AL24+($AM$21=1)*AM24</f>
        <v>645.54794520547944</v>
      </c>
      <c r="NA24" s="162">
        <f>MAX(MR24+MU24+MZ24-MY24-MQ24,1.2*$GA$15*($MQ$17-MM24))</f>
        <v>5753.0479452054797</v>
      </c>
      <c r="NB24" s="157">
        <f>MIN(MB24,NA24-$MR$17*MS24)</f>
        <v>875</v>
      </c>
      <c r="NC24" s="157">
        <f>MIN(1.2*$GA$14*(MI24-MP24),MA24)</f>
        <v>525</v>
      </c>
      <c r="ND24" s="207">
        <f t="shared" ref="ND24:ND57" si="51">NB24/MD24</f>
        <v>350</v>
      </c>
      <c r="NE24" s="207">
        <f>NC24/(MD24-1+1E-50)</f>
        <v>350</v>
      </c>
      <c r="NF24" s="157">
        <f>NF$22*MIN(ND24:NE24)+(1-NF$22)*ME24</f>
        <v>350</v>
      </c>
      <c r="NG24" s="157">
        <f t="shared" ref="NG24:NG57" si="52">NF24*(MD24-1)</f>
        <v>525</v>
      </c>
      <c r="NH24" s="157">
        <f t="shared" ref="NH24:NH57" si="53">NF24*MD24</f>
        <v>875</v>
      </c>
      <c r="NI24" s="168">
        <f>NF24/1000*$MC24</f>
        <v>0</v>
      </c>
      <c r="NJ24" s="168">
        <f>NG24/1000*$MC24</f>
        <v>0</v>
      </c>
      <c r="NK24" s="168">
        <f>NH24/1000*$MC24</f>
        <v>0</v>
      </c>
      <c r="NL24" s="157">
        <f>(NA24-NH24)</f>
        <v>4878.0479452054797</v>
      </c>
      <c r="NM24" s="168">
        <f>MS24/1000*$MC24</f>
        <v>0</v>
      </c>
      <c r="NN24" s="168">
        <f>MY24/1000*$MC24</f>
        <v>0</v>
      </c>
      <c r="NO24" s="168">
        <f>NA24/1000*$MC24</f>
        <v>0</v>
      </c>
      <c r="NP24" s="168">
        <f>(NL24&gt;0)*NL24/1000*$MC24</f>
        <v>0</v>
      </c>
      <c r="NQ24" s="168">
        <f>(MU24+MR24+MZ24)/1000*$MC24</f>
        <v>0</v>
      </c>
      <c r="NR24" s="157">
        <f>MAX(1.2*$GA$15*($MQ$17-ML24)-MQ24,0)</f>
        <v>1295.9999999999998</v>
      </c>
      <c r="NS24" s="168">
        <f>NG24/1000*$MC24</f>
        <v>0</v>
      </c>
      <c r="NT24" s="157">
        <f>(MU24+MR24+MZ24)</f>
        <v>7244.0479452054797</v>
      </c>
      <c r="NU24" s="168">
        <f>MR24/1000*$MC24</f>
        <v>0</v>
      </c>
      <c r="NV24" s="168">
        <f>(MR24-MQ24)/1000*$MC24</f>
        <v>0</v>
      </c>
      <c r="NW24" s="181"/>
      <c r="NX24" s="157"/>
      <c r="NY24" s="157"/>
      <c r="NZ24" s="157"/>
      <c r="OA24" s="157"/>
      <c r="OB24" s="157"/>
    </row>
    <row r="25" spans="1:392" ht="13" x14ac:dyDescent="0.3">
      <c r="A25" s="154">
        <v>7.9908675799086767E-2</v>
      </c>
      <c r="B25" s="154">
        <v>-20.5</v>
      </c>
      <c r="C25" s="154">
        <f>MAX($C$21*($C$19-B25)+B25,B25)</f>
        <v>-20.5</v>
      </c>
      <c r="F25" s="181">
        <f t="shared" ref="F25:F57" si="54">$F$21*(J25-B25)</f>
        <v>3660.3</v>
      </c>
      <c r="G25" s="161">
        <f>(A25-A24)/100*8760</f>
        <v>7</v>
      </c>
      <c r="H25" s="154">
        <f t="shared" ref="H25:H74" si="55">F25/1000</f>
        <v>3.6603000000000003</v>
      </c>
      <c r="I25" s="161">
        <f t="shared" ref="I25:I74" si="56">G25*(J25-B25)</f>
        <v>290.5</v>
      </c>
      <c r="J25" s="181">
        <f t="shared" ref="J25:J74" si="57">$FX$3*GD25+$HY$3*IE25+$KA$3*KG25+$MC$3*MI25</f>
        <v>21</v>
      </c>
      <c r="K25" s="181">
        <f t="shared" ref="K25:K74" si="58">$FX$3*GE25+$HY$3*II25+$KA$3*KK25+$MC$3*MJ25</f>
        <v>13.584745762711865</v>
      </c>
      <c r="L25" s="181">
        <f t="shared" ref="L25:L74" si="59">$FX$3*GF25+$HY$3*IG25+$KA$3*KI25+$MC$3*MK25</f>
        <v>0</v>
      </c>
      <c r="M25" s="181">
        <f t="shared" ref="M25:M74" si="60">$FX$3*GG25+$HY$3*IF25+$KA$3*KH25+$MC$3*ML25</f>
        <v>-20.5</v>
      </c>
      <c r="N25" s="181">
        <f t="shared" ref="N25:N74" si="61">$FX$3*GH25+$HY$3*IH25+$KA$3*KJ25+$MC$3*MM25</f>
        <v>-5.3773584905660368</v>
      </c>
      <c r="O25" s="181">
        <f t="shared" ref="O25:O74" si="62">$FX$3*GI25+$HY$3*IJ25+$KA$3*KL25+$MC$3*MN25</f>
        <v>-5.3773584905660368</v>
      </c>
      <c r="P25" s="181">
        <f t="shared" ref="P25:P74" si="63">$FX$3*GJ25+$HY$3*IK25+$KA$3*KM25+$MC$3*MO25</f>
        <v>15</v>
      </c>
      <c r="Q25" s="181">
        <f t="shared" ref="Q25:Q74" si="64">N25+AD25*1000/(1.2*$GA$15)</f>
        <v>0.12578616352201433</v>
      </c>
      <c r="R25" s="168">
        <f t="shared" ref="R25:R74" si="65">AF25*G25</f>
        <v>6.125</v>
      </c>
      <c r="S25" s="161">
        <f t="shared" ref="S25:S74" si="66">X25*G25</f>
        <v>47.003935616438355</v>
      </c>
      <c r="T25" s="161">
        <f t="shared" ref="T25:T74" si="67">M25+Y25*1000/(1.2*$GA$15)</f>
        <v>93.400124924614474</v>
      </c>
      <c r="U25" s="161">
        <f t="shared" ref="U25:U74" si="68">M25+X25*1000/(1.2*$GA$15)</f>
        <v>85.079370207633332</v>
      </c>
      <c r="V25" s="154">
        <f t="shared" ref="V25:V74" si="69">($FX$3*GN25+$HY$3*IP25+$KA$3*KR25+$MC$3*MS25)/(1000)</f>
        <v>1.296</v>
      </c>
      <c r="W25" s="154">
        <f t="shared" ref="W25:W74" si="70">Y25-AG25-AA25-AF25</f>
        <v>4.8780479452054788</v>
      </c>
      <c r="X25" s="154">
        <f t="shared" ref="X25:X74" si="71">MAX((Y25-AA25),AB25)</f>
        <v>6.714847945205479</v>
      </c>
      <c r="Y25" s="154">
        <f t="shared" ref="Y25:Y74" si="72">H25+Z25+AC25</f>
        <v>7.2440479452054793</v>
      </c>
      <c r="Z25" s="154">
        <f t="shared" ref="Z25:Z55" si="73">($FX$3*GM25+$HY$3*IO25+$KA$3*KQ25+$MC$3*MR25)/(1000)</f>
        <v>2.9381999999999997</v>
      </c>
      <c r="AA25" s="154">
        <f t="shared" ref="AA25:AA55" si="74">($FX$3*GT25+$HY$3*IV25+$KA$3*KX25+$MC$3*MY25)/(1000)</f>
        <v>0.52919999999999989</v>
      </c>
      <c r="AB25" s="154">
        <f t="shared" si="26"/>
        <v>5.7530479452054797</v>
      </c>
      <c r="AC25" s="154">
        <f t="shared" si="27"/>
        <v>0.64554794520547942</v>
      </c>
      <c r="AD25" s="154">
        <f t="shared" si="28"/>
        <v>0.35</v>
      </c>
      <c r="AE25" s="154">
        <f t="shared" si="29"/>
        <v>0.52500000000000002</v>
      </c>
      <c r="AF25" s="154">
        <f t="shared" si="30"/>
        <v>0.875</v>
      </c>
      <c r="AG25" s="154">
        <f t="shared" ref="AG25:AG74" si="75">($FX$3*GL25+$HY$3*IN25+$KA$3*KP25+$MC$3*MQ25)/(1000)</f>
        <v>0.96179999999999999</v>
      </c>
      <c r="AH25" s="154">
        <f t="shared" ref="AH25:AH74" si="76">AG25+AF25</f>
        <v>1.8368</v>
      </c>
      <c r="AI25" s="154">
        <f t="shared" ref="AI25:AI74" si="77">AL25/1000*$AL$21</f>
        <v>0.58732876712328763</v>
      </c>
      <c r="AJ25" s="154">
        <f t="shared" ref="AJ25:AJ74" si="78">AM25/1000*$AM$21</f>
        <v>5.8219178082191785E-2</v>
      </c>
      <c r="AK25" s="154">
        <f t="shared" ref="AK25:AK74" si="79">AN25/1000*$AN$21</f>
        <v>0</v>
      </c>
      <c r="AL25" s="161">
        <f t="shared" ref="AL25:AL74" si="80">$AL$18</f>
        <v>587.32876712328766</v>
      </c>
      <c r="AM25" s="161">
        <f t="shared" ref="AM25:AM74" si="81">$AN$18</f>
        <v>58.219178082191782</v>
      </c>
      <c r="AN25" s="161">
        <f t="shared" ref="AN25:AN74" si="82">$AN$19</f>
        <v>0</v>
      </c>
      <c r="AO25" s="161"/>
      <c r="AP25" s="154">
        <f t="shared" ref="AP25:AP74" si="83">AI25+AJ25</f>
        <v>0.64554794520547942</v>
      </c>
      <c r="AQ25" s="154">
        <f t="shared" ref="AQ25:AQ74" si="84">AP25+AK25</f>
        <v>0.64554794520547942</v>
      </c>
      <c r="AR25" s="154">
        <f t="shared" ref="AR25:AR74" si="85">AH25+V25</f>
        <v>3.1328</v>
      </c>
      <c r="AS25" s="161"/>
      <c r="AT25" s="161"/>
      <c r="AU25" s="161"/>
      <c r="AV25" s="161"/>
      <c r="AW25" s="181"/>
      <c r="AX25" s="181"/>
      <c r="AY25" s="181"/>
      <c r="AZ25" s="181"/>
      <c r="BA25" s="181"/>
      <c r="BB25" s="161"/>
      <c r="BC25" s="161"/>
      <c r="BD25" s="161"/>
      <c r="BE25" s="181"/>
      <c r="BF25" s="168"/>
      <c r="BG25" s="181"/>
      <c r="BH25" s="168"/>
      <c r="BI25" s="168"/>
      <c r="BJ25" s="161"/>
      <c r="BK25" s="168"/>
      <c r="BL25" s="168"/>
      <c r="BM25" s="168"/>
      <c r="BN25" s="168"/>
      <c r="BO25" s="168">
        <f t="shared" ref="BO25:BO57" si="86">AL25/1000*$G25</f>
        <v>4.1113013698630132</v>
      </c>
      <c r="BP25" s="168">
        <f t="shared" ref="BP25:BP57" si="87">AM25/1000*$G25</f>
        <v>0.40753424657534248</v>
      </c>
      <c r="BQ25" s="168">
        <f t="shared" ref="BQ25:BQ57" si="88">AN25/1000*$G25</f>
        <v>0</v>
      </c>
      <c r="BR25" s="181"/>
      <c r="BS25" s="161"/>
      <c r="BT25" s="168"/>
      <c r="BU25" s="161"/>
      <c r="BV25" s="161"/>
      <c r="BW25" s="161"/>
      <c r="BX25" s="161"/>
      <c r="CB25" s="181">
        <f t="shared" ref="CB25:CI58" si="89">CB$23*$E25*CB$21*CB$20</f>
        <v>0</v>
      </c>
      <c r="CC25" s="181">
        <f t="shared" si="32"/>
        <v>0</v>
      </c>
      <c r="CD25" s="181">
        <f t="shared" si="32"/>
        <v>0</v>
      </c>
      <c r="CE25" s="181">
        <f t="shared" si="32"/>
        <v>0</v>
      </c>
      <c r="CF25" s="181">
        <f t="shared" si="32"/>
        <v>0</v>
      </c>
      <c r="CG25" s="181">
        <f t="shared" si="32"/>
        <v>0</v>
      </c>
      <c r="CH25" s="181">
        <f t="shared" si="32"/>
        <v>0</v>
      </c>
      <c r="CI25" s="181">
        <f t="shared" si="32"/>
        <v>0</v>
      </c>
      <c r="CJ25" s="182">
        <f t="shared" ref="CJ25:CJ57" si="90">SUM(CB25:CI25)</f>
        <v>0</v>
      </c>
      <c r="CK25" s="161">
        <f t="shared" ref="CK25:CK57" si="91">CJ25*24/(MAX($CB$12,10))</f>
        <v>0</v>
      </c>
      <c r="CL25" s="161">
        <f>CL24</f>
        <v>529.19999999999993</v>
      </c>
      <c r="CM25" s="182">
        <f t="shared" ref="CM25:CM57" si="92">CK25+CL25</f>
        <v>529.19999999999993</v>
      </c>
      <c r="CN25" s="157">
        <f t="shared" ref="CN25:CN57" si="93">CJ25*G25/1000</f>
        <v>0</v>
      </c>
      <c r="CO25" s="162">
        <f t="shared" ref="CO25:CO57" si="94">CM25</f>
        <v>529.19999999999993</v>
      </c>
      <c r="FT25" s="168">
        <f>FT24</f>
        <v>2.5</v>
      </c>
      <c r="FU25" s="161">
        <f>FU24</f>
        <v>350</v>
      </c>
      <c r="FV25" s="161">
        <f t="shared" si="33"/>
        <v>525</v>
      </c>
      <c r="FW25" s="161">
        <f t="shared" ref="FW25:FW57" si="95">FT25*FU25</f>
        <v>875</v>
      </c>
      <c r="FX25" s="161">
        <v>7</v>
      </c>
      <c r="FY25" s="168">
        <f t="shared" ref="FY25:FY57" si="96">FT25</f>
        <v>2.5</v>
      </c>
      <c r="FZ25" s="161">
        <v>350</v>
      </c>
      <c r="GA25" s="161">
        <v>525</v>
      </c>
      <c r="GB25" s="161">
        <v>875</v>
      </c>
      <c r="GC25" s="168">
        <f>GC24</f>
        <v>0.56785714285714284</v>
      </c>
      <c r="GD25" s="154">
        <f t="shared" ref="GD25:GD74" si="97">MAX($GD$21,GG25)</f>
        <v>21</v>
      </c>
      <c r="GE25" s="181">
        <f t="shared" ref="GE25:GE57" si="98">MAX(GD25-GA25/(1.2*$GA$14),GK25)</f>
        <v>13.584745762711865</v>
      </c>
      <c r="GF25" s="181">
        <f t="shared" si="34"/>
        <v>0</v>
      </c>
      <c r="GG25" s="154">
        <f t="shared" ref="GG25:GG74" si="99">$C25</f>
        <v>-20.5</v>
      </c>
      <c r="GH25" s="181">
        <f t="shared" ref="GH25:GH57" si="100">MIN(GG25+$GA$14/$GA$15*(GE25-GF25),$GJ$17)</f>
        <v>-5.3773584905660368</v>
      </c>
      <c r="GI25" s="181">
        <f t="shared" ref="GI25:GI57" si="101">GH25+GB25/(1.2*$GA$15)</f>
        <v>8.3805031446540905</v>
      </c>
      <c r="GJ25" s="181">
        <f t="shared" ref="GJ25:GJ74" si="102">MAX(GI25,$GL$17)</f>
        <v>15</v>
      </c>
      <c r="GK25" s="181">
        <f t="shared" ref="GK25:GK74" si="103">($FT$9=1)*$GH$17+($FT$9=0)*MAX($GH$17,GG25)</f>
        <v>0</v>
      </c>
      <c r="GL25" s="157">
        <f t="shared" ref="GL25:GL57" si="104">1.2*$GA$14*(GE25-GF25)</f>
        <v>961.8</v>
      </c>
      <c r="GM25" s="157">
        <f t="shared" ref="GM25:GM74" si="105">1.2*$GA$14*(GD25-B25)</f>
        <v>2938.2</v>
      </c>
      <c r="GN25" s="157">
        <f t="shared" ref="GN25:GN74" si="106">1.2*$GA$15*(GJ25-GI25)</f>
        <v>420.99999999999983</v>
      </c>
      <c r="GO25" s="157">
        <f t="shared" ref="GO25:GO74" si="107">GM25-GL25-GN25</f>
        <v>1555.4</v>
      </c>
      <c r="GP25" s="157">
        <f t="shared" ref="GP25:GP74" si="108">$F25</f>
        <v>3660.3</v>
      </c>
      <c r="GQ25" s="157">
        <f t="shared" ref="GQ25:GQ74" si="109">$CO25</f>
        <v>529.19999999999993</v>
      </c>
      <c r="GR25" s="157">
        <f t="shared" ref="GR25:GR57" si="110">GP25+GO25</f>
        <v>5215.7000000000007</v>
      </c>
      <c r="GS25" s="200">
        <f t="shared" ref="GS25:GS57" si="111">MIN(1/(GQ25/(GR25+1E-50)+1E-50),1)</f>
        <v>1</v>
      </c>
      <c r="GT25" s="157">
        <f t="shared" ref="GT25:GT56" si="112">GS25*GQ25</f>
        <v>529.19999999999993</v>
      </c>
      <c r="GU25" s="157">
        <f t="shared" ref="GU25:GU57" si="113">($AN$21=1)*AN25+($AL$21=1)*AL25+($AM$21=1)*AM25</f>
        <v>645.54794520547944</v>
      </c>
      <c r="GV25" s="162">
        <f t="shared" ref="GV25:GV74" si="114">MAX(GM25+GP25+GU25-GT25-GL25,1.2*$GA$15*($GL$17-GH25))</f>
        <v>5753.0479452054797</v>
      </c>
      <c r="GW25" s="157">
        <f t="shared" ref="GW25:GW57" si="115">MIN(FW25,GV25)</f>
        <v>875</v>
      </c>
      <c r="GX25" s="157">
        <f>MIN(1.2*$GA$14*(GD25-GK25),FV25)</f>
        <v>525</v>
      </c>
      <c r="GY25" s="207">
        <f t="shared" si="35"/>
        <v>350</v>
      </c>
      <c r="GZ25" s="207">
        <f t="shared" ref="GZ25:GZ74" si="116">GX25/(FY25-1+1E-50)</f>
        <v>350</v>
      </c>
      <c r="HA25" s="157">
        <f t="shared" ref="HA25:HA74" si="117">HA$22*MIN(GY25:GZ25)+(1-HA$22)*FZ25</f>
        <v>350</v>
      </c>
      <c r="HB25" s="157">
        <f t="shared" si="36"/>
        <v>525</v>
      </c>
      <c r="HC25" s="157">
        <f t="shared" si="37"/>
        <v>875</v>
      </c>
      <c r="HD25" s="168">
        <f t="shared" si="38"/>
        <v>2.4499999999999997</v>
      </c>
      <c r="HE25" s="168">
        <f t="shared" ref="HE25:HE57" si="118">HB25/1000*$FX25</f>
        <v>3.6750000000000003</v>
      </c>
      <c r="HF25" s="168">
        <f t="shared" si="39"/>
        <v>6.125</v>
      </c>
      <c r="HG25" s="157">
        <f t="shared" ref="HG25:HG74" si="119">(GV25-HC25)</f>
        <v>4878.0479452054797</v>
      </c>
      <c r="HH25" s="168">
        <f t="shared" ref="HH25:HH57" si="120">GN25/1000*$FX25</f>
        <v>2.9469999999999987</v>
      </c>
      <c r="HI25" s="168">
        <f t="shared" ref="HI25:HI57" si="121">GT25/1000*$FX25</f>
        <v>3.7043999999999992</v>
      </c>
      <c r="HJ25" s="168">
        <f t="shared" ref="HJ25:HJ57" si="122">GV25/1000*$FX25</f>
        <v>40.271335616438357</v>
      </c>
      <c r="HK25" s="168">
        <f t="shared" ref="HK25:HK74" si="123">(HG25&gt;0)*HG25/1000*$FX25</f>
        <v>34.146335616438357</v>
      </c>
      <c r="HL25" s="168">
        <f t="shared" ref="HL25:HL74" si="124">(GP25+GM25+GU25)/1000*$FX25</f>
        <v>50.708335616438355</v>
      </c>
      <c r="HM25" s="157">
        <f t="shared" ref="HM25:HM74" si="125">MAX(1.2*$GA$15*(GJ25-GG25)-GL25,0)</f>
        <v>1295.9999999999998</v>
      </c>
      <c r="HN25" s="168">
        <f t="shared" ref="HN25:HN57" si="126">HB25/1000*$FX25</f>
        <v>3.6750000000000003</v>
      </c>
      <c r="HP25" s="168">
        <f t="shared" ref="HP25:HP57" si="127">GM25/1000*$FX25</f>
        <v>20.567399999999999</v>
      </c>
      <c r="HQ25" s="168">
        <f t="shared" ref="HQ25:HQ57" si="128">(GM25-GL25)/1000*$FX25</f>
        <v>13.8348</v>
      </c>
      <c r="HR25" s="181"/>
      <c r="HU25" s="168">
        <f>HU24</f>
        <v>2.5</v>
      </c>
      <c r="HV25" s="161">
        <f>HV24</f>
        <v>350</v>
      </c>
      <c r="HW25" s="161">
        <f t="shared" si="40"/>
        <v>525</v>
      </c>
      <c r="HX25" s="161">
        <f t="shared" si="41"/>
        <v>875</v>
      </c>
      <c r="HY25" s="161">
        <v>7</v>
      </c>
      <c r="HZ25" s="168">
        <f t="shared" ref="HZ25:HZ57" si="129">HU25</f>
        <v>2.5</v>
      </c>
      <c r="IA25" s="161">
        <v>0</v>
      </c>
      <c r="IB25" s="161">
        <v>0</v>
      </c>
      <c r="IC25" s="161">
        <v>0</v>
      </c>
      <c r="ID25" s="168">
        <f>ID24</f>
        <v>0.56785714285714284</v>
      </c>
      <c r="IE25" s="154">
        <f t="shared" ref="IE25:IE74" si="130">MAX($IE$21,IF25)</f>
        <v>21</v>
      </c>
      <c r="IF25" s="154">
        <f t="shared" ref="IF25:IF74" si="131">$C25</f>
        <v>-20.5</v>
      </c>
      <c r="IG25" s="181">
        <f t="shared" ref="IG25:IG57" si="132">MAX(IE25-ID25*(IE25-IF25),IL25)</f>
        <v>0</v>
      </c>
      <c r="IH25" s="181">
        <f t="shared" ref="IH25:IH57" si="133">IF25+$GA$14/$GA$15*(IE25-IG25)</f>
        <v>2.8773584905660385</v>
      </c>
      <c r="II25" s="181">
        <f t="shared" ref="II25:II57" si="134">MAX(IG25-IA25*(HZ25-1)/(1.2*$GA$14),IM25)</f>
        <v>0</v>
      </c>
      <c r="IJ25" s="181">
        <f t="shared" ref="IJ25:IJ57" si="135">IH25+HZ25*IA25/(1.2*$GA$15)</f>
        <v>2.8773584905660385</v>
      </c>
      <c r="IK25" s="181">
        <f t="shared" ref="IK25:IK57" si="136">MAX(IJ25,$IM$17)</f>
        <v>15</v>
      </c>
      <c r="IL25" s="181">
        <f>IL24</f>
        <v>0</v>
      </c>
      <c r="IM25" s="181">
        <f t="shared" ref="IM25:IM74" si="137">($FT$9=1)*$II$17+($FT$9=0)*MAX($II$17,IF25)</f>
        <v>0</v>
      </c>
      <c r="IN25" s="157">
        <f t="shared" ref="IN25:IN57" si="138">1.2*$GA$14*(IE25-IG25)</f>
        <v>1486.8</v>
      </c>
      <c r="IO25" s="157">
        <f t="shared" ref="IO25:IO74" si="139">1.2*$GA$14*(IE25-B25)</f>
        <v>2938.2</v>
      </c>
      <c r="IP25" s="157">
        <f t="shared" si="42"/>
        <v>770.99999999999989</v>
      </c>
      <c r="IQ25" s="157">
        <f t="shared" si="43"/>
        <v>680.4</v>
      </c>
      <c r="IR25" s="157">
        <f t="shared" ref="IR25:IR74" si="140">$F25</f>
        <v>3660.3</v>
      </c>
      <c r="IS25" s="157">
        <f t="shared" ref="IS25:IS74" si="141">$CO25</f>
        <v>529.19999999999993</v>
      </c>
      <c r="IT25" s="157">
        <f t="shared" ref="IT25:IT57" si="142">IR25+IQ25</f>
        <v>4340.7</v>
      </c>
      <c r="IU25" s="200">
        <f t="shared" ref="IU25:IU57" si="143">MIN(1/(IS25/(IT25+1E-50)+1E-50),1)</f>
        <v>1</v>
      </c>
      <c r="IV25" s="157">
        <f t="shared" ref="IV25:IV57" si="144">IU25*IS25</f>
        <v>529.19999999999993</v>
      </c>
      <c r="IW25" s="157">
        <f t="shared" ref="IW25:IW57" si="145">($AN$21=1)*AN25+($AL$21=1)*AL25+($AM$21=1)*AM25</f>
        <v>645.54794520547944</v>
      </c>
      <c r="IX25" s="162">
        <f t="shared" ref="IX25:IX74" si="146">MAX(IO25+IR25+IW25-IV25-IN25,1.2*$GA$15*($IM$17-IH25))</f>
        <v>5228.0479452054797</v>
      </c>
      <c r="IY25" s="157">
        <f t="shared" si="22"/>
        <v>875</v>
      </c>
      <c r="IZ25" s="157">
        <f t="shared" ref="IZ25:IZ74" si="147">MIN(1.2*$GA$14*(IG25-IM25),HW25)</f>
        <v>0</v>
      </c>
      <c r="JA25" s="207">
        <f t="shared" ref="JA25:JA57" si="148">IY25/HZ25</f>
        <v>350</v>
      </c>
      <c r="JB25" s="207">
        <f t="shared" ref="JB25:JB74" si="149">IZ25/(HZ25-1+1E-50)</f>
        <v>0</v>
      </c>
      <c r="JC25" s="157">
        <f t="shared" ref="JC25:JC74" si="150">JC$22*MIN(JA25:JB25)+(1-JC$22)*IA25</f>
        <v>0</v>
      </c>
      <c r="JD25" s="157">
        <f t="shared" ref="JD25:JD57" si="151">JC25*(HZ25-1)</f>
        <v>0</v>
      </c>
      <c r="JE25" s="157">
        <f t="shared" ref="JE25:JE57" si="152">JC25*HZ25</f>
        <v>0</v>
      </c>
      <c r="JF25" s="168">
        <f t="shared" ref="JF25:JF57" si="153">JC25/1000*$HY25</f>
        <v>0</v>
      </c>
      <c r="JG25" s="168">
        <f t="shared" ref="JG25:JG57" si="154">JD25/1000*$HY25</f>
        <v>0</v>
      </c>
      <c r="JH25" s="168">
        <f t="shared" ref="JH25:JH57" si="155">JE25/1000*$HY25</f>
        <v>0</v>
      </c>
      <c r="JI25" s="157">
        <f t="shared" ref="JI25:JI74" si="156">(IX25-JE25)</f>
        <v>5228.0479452054797</v>
      </c>
      <c r="JJ25" s="168">
        <f t="shared" ref="JJ25:JJ57" si="157">IP25/1000*$HY25</f>
        <v>5.3969999999999994</v>
      </c>
      <c r="JK25" s="168">
        <f t="shared" ref="JK25:JK57" si="158">IV25/1000*$HY25</f>
        <v>3.7043999999999992</v>
      </c>
      <c r="JL25" s="168">
        <f t="shared" ref="JL25:JL57" si="159">IX25/1000*$HY25</f>
        <v>36.596335616438353</v>
      </c>
      <c r="JM25" s="168">
        <f t="shared" ref="JM25:JM74" si="160">(JI25&gt;0)*JI25/1000*$HY25</f>
        <v>36.596335616438353</v>
      </c>
      <c r="JN25" s="168">
        <f t="shared" ref="JN25:JN74" si="161">(IR25+IO25+IW25)/1000*$HY25</f>
        <v>50.708335616438355</v>
      </c>
      <c r="JO25" s="157">
        <f t="shared" ref="JO25:JO74" si="162">MAX(1.2*$GA$15*($IM$17-IF25)-IN25,0)</f>
        <v>770.99999999999977</v>
      </c>
      <c r="JP25" s="168">
        <f t="shared" ref="JP25:JP57" si="163">JD25/1000*$HY25</f>
        <v>0</v>
      </c>
      <c r="JR25" s="168">
        <f t="shared" ref="JR25:JR57" si="164">IO25/1000*$HY25</f>
        <v>20.567399999999999</v>
      </c>
      <c r="JS25" s="168">
        <f t="shared" ref="JS25:JS57" si="165">(IO25-IN25)/1000*$HY25</f>
        <v>10.159799999999999</v>
      </c>
      <c r="JT25" s="181"/>
      <c r="JW25" s="168">
        <f>JW24</f>
        <v>2.5</v>
      </c>
      <c r="JX25" s="161">
        <f>JX24</f>
        <v>350</v>
      </c>
      <c r="JY25" s="161">
        <f t="shared" si="44"/>
        <v>525</v>
      </c>
      <c r="JZ25" s="161">
        <f t="shared" si="45"/>
        <v>875</v>
      </c>
      <c r="KA25" s="161">
        <v>7</v>
      </c>
      <c r="KB25" s="168">
        <f t="shared" ref="KB25:KB57" si="166">JW25</f>
        <v>2.5</v>
      </c>
      <c r="KC25" s="161">
        <v>0</v>
      </c>
      <c r="KD25" s="161">
        <v>0</v>
      </c>
      <c r="KE25" s="161">
        <v>0</v>
      </c>
      <c r="KF25" s="168">
        <f>KF24</f>
        <v>0.56785714285714284</v>
      </c>
      <c r="KG25" s="154">
        <f t="shared" ref="KG25:KG74" si="167">MAX($KG$21,KH25)</f>
        <v>21</v>
      </c>
      <c r="KH25" s="154">
        <f t="shared" ref="KH25:KH74" si="168">$C25</f>
        <v>-20.5</v>
      </c>
      <c r="KI25" s="181">
        <f t="shared" ref="KI25:KI57" si="169">MAX(KG25-KF25*(KG25-KH25),KN25)</f>
        <v>0</v>
      </c>
      <c r="KJ25" s="181">
        <f t="shared" ref="KJ25:KJ57" si="170">KH25+$GA$14/$GA$15*(KG25-KI25)</f>
        <v>2.8773584905660385</v>
      </c>
      <c r="KK25" s="181">
        <f t="shared" ref="KK25:KK57" si="171">MAX(KI25-KC25*(KB25-1)/(1.2*$GA$14),KO25)</f>
        <v>0</v>
      </c>
      <c r="KL25" s="181">
        <f t="shared" ref="KL25:KL57" si="172">KJ25+0*(KJ25+KB25*KC25/(1.2*$GA$15))</f>
        <v>2.8773584905660385</v>
      </c>
      <c r="KM25" s="181">
        <f t="shared" ref="KM25:KM57" si="173">MAX(KL25,$IM$17)</f>
        <v>15</v>
      </c>
      <c r="KN25" s="181">
        <f>KN24</f>
        <v>0</v>
      </c>
      <c r="KO25" s="181">
        <f t="shared" ref="KO25:KO74" si="174">($FT$9=1)*$KK$17+($FT$9=0)*MAX($KK$17,KH25)</f>
        <v>0</v>
      </c>
      <c r="KP25" s="157">
        <f t="shared" ref="KP25:KP57" si="175">1.2*$GA$14*(KG25-KI25)</f>
        <v>1486.8</v>
      </c>
      <c r="KQ25" s="157">
        <f t="shared" si="46"/>
        <v>2938.2</v>
      </c>
      <c r="KR25" s="157">
        <f t="shared" ref="KR25:KR57" si="176">1.2*$GA$15*(KM25-KL25)</f>
        <v>770.99999999999989</v>
      </c>
      <c r="KS25" s="157">
        <f t="shared" ref="KS25:KS57" si="177">KQ25-KP25-KR25</f>
        <v>680.4</v>
      </c>
      <c r="KT25" s="157">
        <f t="shared" ref="KT25:KT74" si="178">$F25</f>
        <v>3660.3</v>
      </c>
      <c r="KU25" s="157">
        <f t="shared" ref="KU25:KU74" si="179">$CO25</f>
        <v>529.19999999999993</v>
      </c>
      <c r="KV25" s="157">
        <f t="shared" ref="KV25:KV57" si="180">KT25+KS25</f>
        <v>4340.7</v>
      </c>
      <c r="KW25" s="200">
        <f t="shared" ref="KW25:KW57" si="181">MIN(1/(KU25/(KV25+1E-50)+1E-50),1)</f>
        <v>1</v>
      </c>
      <c r="KX25" s="157">
        <f t="shared" ref="KX25:KX57" si="182">KW25*KU25</f>
        <v>529.19999999999993</v>
      </c>
      <c r="KY25" s="157">
        <f t="shared" ref="KY25:KY57" si="183">($AN$21=1)*AN25+($AL$21=1)*AL25+($AM$21=1)*AM25</f>
        <v>645.54794520547944</v>
      </c>
      <c r="KZ25" s="162">
        <f t="shared" si="47"/>
        <v>5228.0479452054797</v>
      </c>
      <c r="LA25" s="157">
        <f t="shared" ref="LA25:LA74" si="184">MIN(JZ25,KZ25-$KP$17*KR25)</f>
        <v>875</v>
      </c>
      <c r="LB25" s="157">
        <f t="shared" ref="LB25:LB74" si="185">MIN(1.2*$GA$14*(KI25-KO25),JY25)</f>
        <v>0</v>
      </c>
      <c r="LC25" s="207">
        <f t="shared" ref="LC25:LC57" si="186">LA25/KB25</f>
        <v>350</v>
      </c>
      <c r="LD25" s="207">
        <f t="shared" ref="LD25:LD74" si="187">LB25/(KB25-1+1E-50)</f>
        <v>0</v>
      </c>
      <c r="LE25" s="157">
        <f t="shared" ref="LE25:LE74" si="188">LE$22*MIN(LC25:LD25)+(1-LE$22)*KC25</f>
        <v>0</v>
      </c>
      <c r="LF25" s="157">
        <f t="shared" ref="LF25:LF57" si="189">LE25*(KB25-1)</f>
        <v>0</v>
      </c>
      <c r="LG25" s="157">
        <f t="shared" ref="LG25:LG57" si="190">LE25*KB25</f>
        <v>0</v>
      </c>
      <c r="LH25" s="168">
        <f t="shared" ref="LH25:LH57" si="191">LE25/1000*$KA25</f>
        <v>0</v>
      </c>
      <c r="LI25" s="168">
        <f t="shared" ref="LI25:LI57" si="192">LF25/1000*$KA25</f>
        <v>0</v>
      </c>
      <c r="LJ25" s="168">
        <f t="shared" ref="LJ25:LJ57" si="193">LG25/1000*$KA25</f>
        <v>0</v>
      </c>
      <c r="LK25" s="157">
        <f t="shared" ref="LK25:LK74" si="194">(KZ25-LG25)</f>
        <v>5228.0479452054797</v>
      </c>
      <c r="LL25" s="168">
        <f t="shared" ref="LL25:LL57" si="195">KR25/1000*$KA25</f>
        <v>5.3969999999999994</v>
      </c>
      <c r="LM25" s="168">
        <f t="shared" ref="LM25:LM57" si="196">KX25/1000*$KA25</f>
        <v>3.7043999999999992</v>
      </c>
      <c r="LN25" s="168">
        <f t="shared" ref="LN25:LN57" si="197">KZ25/1000*$KA25</f>
        <v>36.596335616438353</v>
      </c>
      <c r="LO25" s="168">
        <f t="shared" ref="LO25:LO74" si="198">(LK25&gt;0)*LK25/1000*$KA25</f>
        <v>36.596335616438353</v>
      </c>
      <c r="LP25" s="168">
        <f t="shared" ref="LP25:LP74" si="199">(KT25+KQ25+KY25)/1000*$KA25</f>
        <v>50.708335616438355</v>
      </c>
      <c r="LQ25" s="157">
        <f t="shared" ref="LQ25:LQ74" si="200">MAX(1.2*$GA$15*($KO$17-KH25)-KP25,0)</f>
        <v>770.99999999999977</v>
      </c>
      <c r="LR25" s="168">
        <f t="shared" ref="LR25:LR57" si="201">LF25/1000*$KA25</f>
        <v>0</v>
      </c>
      <c r="LT25" s="168">
        <f t="shared" ref="LT25:LT57" si="202">KQ25/1000*$KA25</f>
        <v>20.567399999999999</v>
      </c>
      <c r="LU25" s="168">
        <f t="shared" ref="LU25:LU57" si="203">(KQ25-KP25)/1000*$KA25</f>
        <v>10.159799999999999</v>
      </c>
      <c r="LV25" s="181"/>
      <c r="LY25" s="168">
        <f>LY24</f>
        <v>2.5</v>
      </c>
      <c r="LZ25" s="161">
        <f>LZ24</f>
        <v>350</v>
      </c>
      <c r="MA25" s="161">
        <f t="shared" si="48"/>
        <v>525</v>
      </c>
      <c r="MB25" s="161">
        <f t="shared" si="49"/>
        <v>875</v>
      </c>
      <c r="MC25" s="161">
        <v>7</v>
      </c>
      <c r="MD25" s="168">
        <f t="shared" ref="MD25:MD57" si="204">LY25</f>
        <v>2.5</v>
      </c>
      <c r="ME25" s="161">
        <v>350</v>
      </c>
      <c r="MF25" s="161">
        <v>525</v>
      </c>
      <c r="MG25" s="161">
        <v>875</v>
      </c>
      <c r="MH25" s="168">
        <f>MH24</f>
        <v>0.56785714285714284</v>
      </c>
      <c r="MI25" s="154">
        <f t="shared" ref="MI25:MI74" si="205">MAX($MI$21,ML25)</f>
        <v>21</v>
      </c>
      <c r="MJ25" s="181">
        <f t="shared" ref="MJ25:MJ57" si="206">MAX(MI25-MF25/(1.2*$GA$14),MP25)</f>
        <v>13.584745762711865</v>
      </c>
      <c r="MK25" s="181">
        <f t="shared" ref="MK25:MK56" si="207">MAX(MJ25-MH25*(MJ25-ML25),$MN$17)</f>
        <v>0</v>
      </c>
      <c r="ML25" s="154">
        <f t="shared" ref="ML25:ML74" si="208">$C25</f>
        <v>-20.5</v>
      </c>
      <c r="MM25" s="181">
        <f t="shared" ref="MM25:MM56" si="209">MIN(ML25+$GA$14/$GA$15*(MJ25-MK25),$MO$17)</f>
        <v>-5.3773584905660368</v>
      </c>
      <c r="MN25" s="181">
        <f t="shared" ref="MN25:MN57" si="210">MM25+0*(MM25+MG25/(1.2*$GA$15))</f>
        <v>-5.3773584905660368</v>
      </c>
      <c r="MO25" s="181">
        <f t="shared" ref="MO25:MO57" si="211">MAX(MN25,$MQ$17)</f>
        <v>15</v>
      </c>
      <c r="MP25" s="181">
        <f t="shared" ref="MP25:MP74" si="212">($FT$9=1)*$MM$17+($FT$9=0)*MAX($MM$17,ML25)</f>
        <v>0</v>
      </c>
      <c r="MQ25" s="157">
        <f t="shared" si="50"/>
        <v>961.8</v>
      </c>
      <c r="MR25" s="157">
        <f t="shared" ref="MR25:MR74" si="213">1.2*$GA$14*(MI25-B25)</f>
        <v>2938.2</v>
      </c>
      <c r="MS25" s="157">
        <f t="shared" ref="MS25:MS57" si="214">1.2*$GA$15*(MO25-MN25)</f>
        <v>1296</v>
      </c>
      <c r="MT25" s="157">
        <f t="shared" ref="MT25:MT57" si="215">MR25-MQ25-MS25</f>
        <v>680.39999999999986</v>
      </c>
      <c r="MU25" s="157">
        <f t="shared" ref="MU25:MU74" si="216">$F25</f>
        <v>3660.3</v>
      </c>
      <c r="MV25" s="157">
        <f t="shared" ref="MV25:MV74" si="217">$CO25</f>
        <v>529.19999999999993</v>
      </c>
      <c r="MW25" s="157">
        <f t="shared" ref="MW25:MW57" si="218">MU25+MT25</f>
        <v>4340.7</v>
      </c>
      <c r="MX25" s="200">
        <f t="shared" ref="MX25:MX57" si="219">MIN(1/(MV25/(MW25+1E-50)+1E-50),1)</f>
        <v>1</v>
      </c>
      <c r="MY25" s="157">
        <f t="shared" ref="MY25:MY57" si="220">MX25*MV25</f>
        <v>529.19999999999993</v>
      </c>
      <c r="MZ25" s="157">
        <f t="shared" ref="MZ25:MZ57" si="221">($AN$21=1)*AN25+($AL$21=1)*AL25+($AM$21=1)*AM25</f>
        <v>645.54794520547944</v>
      </c>
      <c r="NA25" s="162">
        <f t="shared" ref="NA25:NA74" si="222">MAX(MR25+MU25+MZ25-MY25-MQ25,1.2*$GA$15*($MQ$17-MM25))</f>
        <v>5753.0479452054797</v>
      </c>
      <c r="NB25" s="157">
        <f t="shared" ref="NB25:NB74" si="223">MIN(MB25,NA25-$MR$17*MS25)</f>
        <v>875</v>
      </c>
      <c r="NC25" s="157">
        <f t="shared" ref="NC25:NC74" si="224">MIN(1.2*$GA$14*(MI25-MP25),MA25)</f>
        <v>525</v>
      </c>
      <c r="ND25" s="207">
        <f t="shared" si="51"/>
        <v>350</v>
      </c>
      <c r="NE25" s="207">
        <f t="shared" ref="NE25:NE74" si="225">NC25/(MD25-1+1E-50)</f>
        <v>350</v>
      </c>
      <c r="NF25" s="157">
        <f t="shared" ref="NF25:NF74" si="226">NF$22*MIN(ND25:NE25)+(1-NF$22)*ME25</f>
        <v>350</v>
      </c>
      <c r="NG25" s="157">
        <f t="shared" si="52"/>
        <v>525</v>
      </c>
      <c r="NH25" s="157">
        <f t="shared" si="53"/>
        <v>875</v>
      </c>
      <c r="NI25" s="168">
        <f t="shared" ref="NI25:NI57" si="227">NF25/1000*$MC25</f>
        <v>2.4499999999999997</v>
      </c>
      <c r="NJ25" s="168">
        <f t="shared" ref="NJ25:NJ57" si="228">NG25/1000*$MC25</f>
        <v>3.6750000000000003</v>
      </c>
      <c r="NK25" s="168">
        <f t="shared" ref="NK25:NK57" si="229">NH25/1000*$MC25</f>
        <v>6.125</v>
      </c>
      <c r="NL25" s="157">
        <f t="shared" ref="NL25:NL74" si="230">(NA25-NH25)</f>
        <v>4878.0479452054797</v>
      </c>
      <c r="NM25" s="168">
        <f t="shared" ref="NM25:NM57" si="231">MS25/1000*$MC25</f>
        <v>9.072000000000001</v>
      </c>
      <c r="NN25" s="168">
        <f t="shared" ref="NN25:NN57" si="232">MY25/1000*$MC25</f>
        <v>3.7043999999999992</v>
      </c>
      <c r="NO25" s="168">
        <f t="shared" ref="NO25:NO57" si="233">NA25/1000*$MC25</f>
        <v>40.271335616438357</v>
      </c>
      <c r="NP25" s="168">
        <f t="shared" ref="NP25:NP74" si="234">(NL25&gt;0)*NL25/1000*$MC25</f>
        <v>34.146335616438357</v>
      </c>
      <c r="NQ25" s="168">
        <f t="shared" ref="NQ25:NQ74" si="235">(MU25+MR25+MZ25)/1000*$MC25</f>
        <v>50.708335616438355</v>
      </c>
      <c r="NR25" s="157">
        <f t="shared" ref="NR25:NR74" si="236">MAX(1.2*$GA$15*($MQ$17-ML25)-MQ25,0)</f>
        <v>1295.9999999999998</v>
      </c>
      <c r="NS25" s="168">
        <f t="shared" ref="NS25:NS57" si="237">NG25/1000*$MC25</f>
        <v>3.6750000000000003</v>
      </c>
      <c r="NT25" s="157">
        <f t="shared" ref="NT25:NT53" si="238">(MU25+MR25+MZ25)</f>
        <v>7244.0479452054797</v>
      </c>
      <c r="NU25" s="168">
        <f t="shared" ref="NU25:NU57" si="239">MR25/1000*$MC25</f>
        <v>20.567399999999999</v>
      </c>
      <c r="NV25" s="168">
        <f t="shared" ref="NV25:NV57" si="240">(MR25-MQ25)/1000*$MC25</f>
        <v>13.8348</v>
      </c>
      <c r="NW25" s="181"/>
      <c r="NX25" s="157"/>
      <c r="NY25" s="157"/>
      <c r="NZ25" s="157"/>
      <c r="OA25" s="157"/>
      <c r="OB25" s="157"/>
    </row>
    <row r="26" spans="1:392" ht="13" x14ac:dyDescent="0.3">
      <c r="A26" s="154">
        <v>0.33105022831050229</v>
      </c>
      <c r="B26" s="154">
        <v>-19.5</v>
      </c>
      <c r="C26" s="154">
        <f t="shared" ref="C26:C55" si="241">MAX($C$21*($C$19-B26)+B26,B26)</f>
        <v>-19.5</v>
      </c>
      <c r="D26" s="154">
        <v>16.600000000000001</v>
      </c>
      <c r="E26" s="200">
        <f t="shared" ref="E26:E57" si="242">D26/((A26-A25)/100*8760)</f>
        <v>0.75454545454545463</v>
      </c>
      <c r="F26" s="181">
        <f t="shared" si="54"/>
        <v>3572.1</v>
      </c>
      <c r="G26" s="161">
        <f>(A26-A25)/100*8760</f>
        <v>22</v>
      </c>
      <c r="H26" s="154">
        <f t="shared" si="55"/>
        <v>3.5720999999999998</v>
      </c>
      <c r="I26" s="161">
        <f t="shared" si="56"/>
        <v>891</v>
      </c>
      <c r="J26" s="181">
        <f t="shared" si="57"/>
        <v>21</v>
      </c>
      <c r="K26" s="181">
        <f t="shared" si="58"/>
        <v>13.584745762711865</v>
      </c>
      <c r="L26" s="181">
        <f t="shared" si="59"/>
        <v>0</v>
      </c>
      <c r="M26" s="181">
        <f t="shared" si="60"/>
        <v>-19.5</v>
      </c>
      <c r="N26" s="181">
        <f t="shared" si="61"/>
        <v>-4.3773584905660368</v>
      </c>
      <c r="O26" s="181">
        <f t="shared" si="62"/>
        <v>-4.3773584905660368</v>
      </c>
      <c r="P26" s="181">
        <f t="shared" si="63"/>
        <v>15</v>
      </c>
      <c r="Q26" s="181">
        <f t="shared" si="64"/>
        <v>1.1257861635220143</v>
      </c>
      <c r="R26" s="168">
        <f t="shared" si="65"/>
        <v>19.25</v>
      </c>
      <c r="S26" s="161">
        <f t="shared" si="66"/>
        <v>144.11864185344109</v>
      </c>
      <c r="T26" s="161">
        <f t="shared" si="67"/>
        <v>91.900124924614474</v>
      </c>
      <c r="U26" s="161">
        <f t="shared" si="68"/>
        <v>83.500744606518793</v>
      </c>
      <c r="V26" s="154">
        <f t="shared" si="69"/>
        <v>1.2323999999999999</v>
      </c>
      <c r="W26" s="154">
        <f t="shared" si="70"/>
        <v>4.7140473569745946</v>
      </c>
      <c r="X26" s="154">
        <f t="shared" si="71"/>
        <v>6.5508473569745949</v>
      </c>
      <c r="Y26" s="154">
        <f t="shared" si="72"/>
        <v>7.0850479452054795</v>
      </c>
      <c r="Z26" s="154">
        <f t="shared" si="73"/>
        <v>2.8673999999999999</v>
      </c>
      <c r="AA26" s="154">
        <f t="shared" si="74"/>
        <v>0.53420058823088445</v>
      </c>
      <c r="AB26" s="154">
        <f t="shared" si="26"/>
        <v>5.5890473569745946</v>
      </c>
      <c r="AC26" s="154">
        <f t="shared" si="27"/>
        <v>0.64554794520547942</v>
      </c>
      <c r="AD26" s="154">
        <f t="shared" si="28"/>
        <v>0.35</v>
      </c>
      <c r="AE26" s="154">
        <f t="shared" si="29"/>
        <v>0.52500000000000002</v>
      </c>
      <c r="AF26" s="154">
        <f t="shared" si="30"/>
        <v>0.875</v>
      </c>
      <c r="AG26" s="154">
        <f t="shared" si="75"/>
        <v>0.96179999999999999</v>
      </c>
      <c r="AH26" s="154">
        <f t="shared" si="76"/>
        <v>1.8368</v>
      </c>
      <c r="AI26" s="154">
        <f t="shared" si="77"/>
        <v>0.58732876712328763</v>
      </c>
      <c r="AJ26" s="154">
        <f t="shared" si="78"/>
        <v>5.8219178082191785E-2</v>
      </c>
      <c r="AK26" s="154">
        <f t="shared" si="79"/>
        <v>0</v>
      </c>
      <c r="AL26" s="161">
        <f t="shared" si="80"/>
        <v>587.32876712328766</v>
      </c>
      <c r="AM26" s="161">
        <f t="shared" si="81"/>
        <v>58.219178082191782</v>
      </c>
      <c r="AN26" s="161">
        <f t="shared" si="82"/>
        <v>0</v>
      </c>
      <c r="AO26" s="161"/>
      <c r="AP26" s="154">
        <f t="shared" si="83"/>
        <v>0.64554794520547942</v>
      </c>
      <c r="AQ26" s="154">
        <f t="shared" si="84"/>
        <v>0.64554794520547942</v>
      </c>
      <c r="AR26" s="154">
        <f t="shared" si="85"/>
        <v>3.0691999999999999</v>
      </c>
      <c r="AS26" s="161"/>
      <c r="AT26" s="161"/>
      <c r="AU26" s="161"/>
      <c r="AV26" s="161"/>
      <c r="AW26" s="181"/>
      <c r="AX26" s="181"/>
      <c r="AY26" s="181"/>
      <c r="AZ26" s="181"/>
      <c r="BA26" s="181"/>
      <c r="BB26" s="161"/>
      <c r="BC26" s="161"/>
      <c r="BD26" s="161"/>
      <c r="BE26" s="181"/>
      <c r="BF26" s="168"/>
      <c r="BG26" s="181"/>
      <c r="BH26" s="168"/>
      <c r="BI26" s="168"/>
      <c r="BJ26" s="161"/>
      <c r="BK26" s="168"/>
      <c r="BL26" s="168"/>
      <c r="BM26" s="168"/>
      <c r="BN26" s="168"/>
      <c r="BO26" s="168">
        <f t="shared" si="86"/>
        <v>12.921232876712327</v>
      </c>
      <c r="BP26" s="168">
        <f t="shared" si="87"/>
        <v>1.2808219178082192</v>
      </c>
      <c r="BQ26" s="168">
        <f t="shared" si="88"/>
        <v>0</v>
      </c>
      <c r="BR26" s="181"/>
      <c r="BS26" s="161"/>
      <c r="BT26" s="168"/>
      <c r="BU26" s="161"/>
      <c r="BV26" s="161"/>
      <c r="BW26" s="161"/>
      <c r="BX26" s="161"/>
      <c r="CB26" s="181">
        <f t="shared" si="89"/>
        <v>0.6919193130707374</v>
      </c>
      <c r="CC26" s="181">
        <f t="shared" si="32"/>
        <v>0</v>
      </c>
      <c r="CD26" s="181">
        <f t="shared" si="32"/>
        <v>0.80872396756167364</v>
      </c>
      <c r="CE26" s="181">
        <f t="shared" si="32"/>
        <v>0</v>
      </c>
      <c r="CF26" s="181">
        <f t="shared" si="32"/>
        <v>2.6901638271773205</v>
      </c>
      <c r="CG26" s="181">
        <f t="shared" si="32"/>
        <v>0</v>
      </c>
      <c r="CH26" s="181">
        <f t="shared" si="32"/>
        <v>0.8097811230748263</v>
      </c>
      <c r="CI26" s="181">
        <f t="shared" si="32"/>
        <v>0</v>
      </c>
      <c r="CJ26" s="182">
        <f t="shared" si="90"/>
        <v>5.0005882308845573</v>
      </c>
      <c r="CK26" s="161">
        <f t="shared" si="91"/>
        <v>5.0005882308845573</v>
      </c>
      <c r="CL26" s="161">
        <f t="shared" ref="CL26:CL74" si="243">CL25</f>
        <v>529.19999999999993</v>
      </c>
      <c r="CM26" s="182">
        <f t="shared" si="92"/>
        <v>534.20058823088448</v>
      </c>
      <c r="CN26" s="157">
        <f t="shared" si="93"/>
        <v>0.11001294107946026</v>
      </c>
      <c r="CO26" s="162">
        <f t="shared" si="94"/>
        <v>534.20058823088448</v>
      </c>
      <c r="FT26" s="168">
        <f t="shared" ref="FT26:FT74" si="244">FT25</f>
        <v>2.5</v>
      </c>
      <c r="FU26" s="161">
        <f t="shared" ref="FU26:FU74" si="245">FU25</f>
        <v>350</v>
      </c>
      <c r="FV26" s="161">
        <f t="shared" si="33"/>
        <v>525</v>
      </c>
      <c r="FW26" s="161">
        <f t="shared" si="95"/>
        <v>875</v>
      </c>
      <c r="FX26" s="161">
        <v>22</v>
      </c>
      <c r="FY26" s="168">
        <f t="shared" si="96"/>
        <v>2.5</v>
      </c>
      <c r="FZ26" s="161">
        <v>350</v>
      </c>
      <c r="GA26" s="161">
        <v>525</v>
      </c>
      <c r="GB26" s="161">
        <v>875</v>
      </c>
      <c r="GC26" s="168">
        <f t="shared" ref="GC26:GC74" si="246">GC25</f>
        <v>0.56785714285714284</v>
      </c>
      <c r="GD26" s="154">
        <f t="shared" si="97"/>
        <v>21</v>
      </c>
      <c r="GE26" s="181">
        <f t="shared" si="98"/>
        <v>13.584745762711865</v>
      </c>
      <c r="GF26" s="181">
        <f t="shared" si="34"/>
        <v>0</v>
      </c>
      <c r="GG26" s="154">
        <f t="shared" si="99"/>
        <v>-19.5</v>
      </c>
      <c r="GH26" s="181">
        <f t="shared" si="100"/>
        <v>-4.3773584905660368</v>
      </c>
      <c r="GI26" s="181">
        <f t="shared" si="101"/>
        <v>9.3805031446540905</v>
      </c>
      <c r="GJ26" s="181">
        <f t="shared" si="102"/>
        <v>15</v>
      </c>
      <c r="GK26" s="181">
        <f t="shared" si="103"/>
        <v>0</v>
      </c>
      <c r="GL26" s="157">
        <f t="shared" si="104"/>
        <v>961.8</v>
      </c>
      <c r="GM26" s="157">
        <f t="shared" si="105"/>
        <v>2867.4</v>
      </c>
      <c r="GN26" s="157">
        <f t="shared" si="106"/>
        <v>357.39999999999981</v>
      </c>
      <c r="GO26" s="157">
        <f t="shared" si="107"/>
        <v>1548.2000000000003</v>
      </c>
      <c r="GP26" s="157">
        <f t="shared" si="108"/>
        <v>3572.1</v>
      </c>
      <c r="GQ26" s="157">
        <f t="shared" si="109"/>
        <v>534.20058823088448</v>
      </c>
      <c r="GR26" s="157">
        <f t="shared" si="110"/>
        <v>5120.3</v>
      </c>
      <c r="GS26" s="200">
        <f t="shared" si="111"/>
        <v>1</v>
      </c>
      <c r="GT26" s="157">
        <f t="shared" si="112"/>
        <v>534.20058823088448</v>
      </c>
      <c r="GU26" s="157">
        <f t="shared" si="113"/>
        <v>645.54794520547944</v>
      </c>
      <c r="GV26" s="162">
        <f t="shared" si="114"/>
        <v>5589.0473569745945</v>
      </c>
      <c r="GW26" s="157">
        <f t="shared" si="115"/>
        <v>875</v>
      </c>
      <c r="GX26" s="157">
        <f t="shared" ref="GX26:GX74" si="247">MIN(1.2*$GA$14*(GD26-GK26),FV26)</f>
        <v>525</v>
      </c>
      <c r="GY26" s="207">
        <f t="shared" si="35"/>
        <v>350</v>
      </c>
      <c r="GZ26" s="207">
        <f t="shared" si="116"/>
        <v>350</v>
      </c>
      <c r="HA26" s="157">
        <f t="shared" si="117"/>
        <v>350</v>
      </c>
      <c r="HB26" s="157">
        <f t="shared" si="36"/>
        <v>525</v>
      </c>
      <c r="HC26" s="157">
        <f t="shared" si="37"/>
        <v>875</v>
      </c>
      <c r="HD26" s="168">
        <f t="shared" si="38"/>
        <v>7.6999999999999993</v>
      </c>
      <c r="HE26" s="168">
        <f t="shared" si="118"/>
        <v>11.55</v>
      </c>
      <c r="HF26" s="168">
        <f t="shared" si="39"/>
        <v>19.25</v>
      </c>
      <c r="HG26" s="157">
        <f t="shared" si="119"/>
        <v>4714.0473569745945</v>
      </c>
      <c r="HH26" s="168">
        <f t="shared" si="120"/>
        <v>7.8627999999999965</v>
      </c>
      <c r="HI26" s="168">
        <f t="shared" si="121"/>
        <v>11.752412941079458</v>
      </c>
      <c r="HJ26" s="168">
        <f t="shared" si="122"/>
        <v>122.95904185344108</v>
      </c>
      <c r="HK26" s="168">
        <f t="shared" si="123"/>
        <v>103.70904185344108</v>
      </c>
      <c r="HL26" s="168">
        <f t="shared" si="124"/>
        <v>155.87105479452055</v>
      </c>
      <c r="HM26" s="157">
        <f t="shared" si="125"/>
        <v>1232.3999999999999</v>
      </c>
      <c r="HN26" s="168">
        <f t="shared" si="126"/>
        <v>11.55</v>
      </c>
      <c r="HP26" s="168">
        <f t="shared" si="127"/>
        <v>63.082799999999999</v>
      </c>
      <c r="HQ26" s="168">
        <f t="shared" si="128"/>
        <v>41.923200000000001</v>
      </c>
      <c r="HR26" s="181"/>
      <c r="HU26" s="168">
        <f t="shared" ref="HU26:HV41" si="248">HU25</f>
        <v>2.5</v>
      </c>
      <c r="HV26" s="161">
        <f t="shared" si="248"/>
        <v>350</v>
      </c>
      <c r="HW26" s="161">
        <f t="shared" si="40"/>
        <v>525</v>
      </c>
      <c r="HX26" s="161">
        <f t="shared" si="41"/>
        <v>875</v>
      </c>
      <c r="HY26" s="161">
        <v>22</v>
      </c>
      <c r="HZ26" s="168">
        <f t="shared" si="129"/>
        <v>2.5</v>
      </c>
      <c r="IA26" s="161">
        <v>0</v>
      </c>
      <c r="IB26" s="161">
        <v>0</v>
      </c>
      <c r="IC26" s="161">
        <v>0</v>
      </c>
      <c r="ID26" s="168">
        <f t="shared" ref="ID26:ID41" si="249">ID25</f>
        <v>0.56785714285714284</v>
      </c>
      <c r="IE26" s="154">
        <f t="shared" si="130"/>
        <v>21</v>
      </c>
      <c r="IF26" s="154">
        <f t="shared" si="131"/>
        <v>-19.5</v>
      </c>
      <c r="IG26" s="181">
        <f t="shared" si="132"/>
        <v>0</v>
      </c>
      <c r="IH26" s="181">
        <f t="shared" si="133"/>
        <v>3.8773584905660385</v>
      </c>
      <c r="II26" s="181">
        <f t="shared" si="134"/>
        <v>0</v>
      </c>
      <c r="IJ26" s="181">
        <f t="shared" si="135"/>
        <v>3.8773584905660385</v>
      </c>
      <c r="IK26" s="181">
        <f t="shared" si="136"/>
        <v>15</v>
      </c>
      <c r="IL26" s="181">
        <f t="shared" ref="IL26:IL74" si="250">IL25</f>
        <v>0</v>
      </c>
      <c r="IM26" s="181">
        <f t="shared" si="137"/>
        <v>0</v>
      </c>
      <c r="IN26" s="157">
        <f t="shared" si="138"/>
        <v>1486.8</v>
      </c>
      <c r="IO26" s="157">
        <f t="shared" si="139"/>
        <v>2867.4</v>
      </c>
      <c r="IP26" s="157">
        <f t="shared" si="42"/>
        <v>707.39999999999986</v>
      </c>
      <c r="IQ26" s="157">
        <f t="shared" si="43"/>
        <v>673.20000000000027</v>
      </c>
      <c r="IR26" s="157">
        <f t="shared" si="140"/>
        <v>3572.1</v>
      </c>
      <c r="IS26" s="157">
        <f t="shared" si="141"/>
        <v>534.20058823088448</v>
      </c>
      <c r="IT26" s="157">
        <f t="shared" si="142"/>
        <v>4245.3</v>
      </c>
      <c r="IU26" s="200">
        <f t="shared" si="143"/>
        <v>1</v>
      </c>
      <c r="IV26" s="157">
        <f t="shared" si="144"/>
        <v>534.20058823088448</v>
      </c>
      <c r="IW26" s="157">
        <f t="shared" si="145"/>
        <v>645.54794520547944</v>
      </c>
      <c r="IX26" s="162">
        <f t="shared" si="146"/>
        <v>5064.0473569745945</v>
      </c>
      <c r="IY26" s="157">
        <f t="shared" si="22"/>
        <v>875</v>
      </c>
      <c r="IZ26" s="157">
        <f t="shared" si="147"/>
        <v>0</v>
      </c>
      <c r="JA26" s="207">
        <f t="shared" si="148"/>
        <v>350</v>
      </c>
      <c r="JB26" s="207">
        <f t="shared" si="149"/>
        <v>0</v>
      </c>
      <c r="JC26" s="157">
        <f t="shared" si="150"/>
        <v>0</v>
      </c>
      <c r="JD26" s="157">
        <f t="shared" si="151"/>
        <v>0</v>
      </c>
      <c r="JE26" s="157">
        <f t="shared" si="152"/>
        <v>0</v>
      </c>
      <c r="JF26" s="168">
        <f t="shared" si="153"/>
        <v>0</v>
      </c>
      <c r="JG26" s="168">
        <f t="shared" si="154"/>
        <v>0</v>
      </c>
      <c r="JH26" s="168">
        <f t="shared" si="155"/>
        <v>0</v>
      </c>
      <c r="JI26" s="157">
        <f t="shared" si="156"/>
        <v>5064.0473569745945</v>
      </c>
      <c r="JJ26" s="168">
        <f t="shared" si="157"/>
        <v>15.562799999999998</v>
      </c>
      <c r="JK26" s="168">
        <f t="shared" si="158"/>
        <v>11.752412941079458</v>
      </c>
      <c r="JL26" s="168">
        <f t="shared" si="159"/>
        <v>111.40904185344107</v>
      </c>
      <c r="JM26" s="168">
        <f t="shared" si="160"/>
        <v>111.40904185344107</v>
      </c>
      <c r="JN26" s="168">
        <f t="shared" si="161"/>
        <v>155.87105479452055</v>
      </c>
      <c r="JO26" s="157">
        <f t="shared" si="162"/>
        <v>707.39999999999986</v>
      </c>
      <c r="JP26" s="168">
        <f t="shared" si="163"/>
        <v>0</v>
      </c>
      <c r="JR26" s="168">
        <f t="shared" si="164"/>
        <v>63.082799999999999</v>
      </c>
      <c r="JS26" s="168">
        <f t="shared" si="165"/>
        <v>30.373200000000001</v>
      </c>
      <c r="JT26" s="181"/>
      <c r="JW26" s="168">
        <f t="shared" ref="JW26:JX26" si="251">JW25</f>
        <v>2.5</v>
      </c>
      <c r="JX26" s="161">
        <f t="shared" si="251"/>
        <v>350</v>
      </c>
      <c r="JY26" s="161">
        <f t="shared" si="44"/>
        <v>525</v>
      </c>
      <c r="JZ26" s="161">
        <f t="shared" si="45"/>
        <v>875</v>
      </c>
      <c r="KA26" s="161">
        <v>22</v>
      </c>
      <c r="KB26" s="168">
        <f t="shared" si="166"/>
        <v>2.5</v>
      </c>
      <c r="KC26" s="161">
        <v>0</v>
      </c>
      <c r="KD26" s="161">
        <v>0</v>
      </c>
      <c r="KE26" s="161">
        <v>0</v>
      </c>
      <c r="KF26" s="168">
        <f t="shared" ref="KF26" si="252">KF25</f>
        <v>0.56785714285714284</v>
      </c>
      <c r="KG26" s="154">
        <f t="shared" si="167"/>
        <v>21</v>
      </c>
      <c r="KH26" s="154">
        <f t="shared" si="168"/>
        <v>-19.5</v>
      </c>
      <c r="KI26" s="181">
        <f t="shared" si="169"/>
        <v>0</v>
      </c>
      <c r="KJ26" s="181">
        <f t="shared" si="170"/>
        <v>3.8773584905660385</v>
      </c>
      <c r="KK26" s="181">
        <f t="shared" si="171"/>
        <v>0</v>
      </c>
      <c r="KL26" s="181">
        <f t="shared" si="172"/>
        <v>3.8773584905660385</v>
      </c>
      <c r="KM26" s="181">
        <f t="shared" si="173"/>
        <v>15</v>
      </c>
      <c r="KN26" s="181">
        <f t="shared" ref="KN26:KN74" si="253">KN25</f>
        <v>0</v>
      </c>
      <c r="KO26" s="181">
        <f t="shared" si="174"/>
        <v>0</v>
      </c>
      <c r="KP26" s="157">
        <f t="shared" si="175"/>
        <v>1486.8</v>
      </c>
      <c r="KQ26" s="157">
        <f t="shared" si="46"/>
        <v>2867.4</v>
      </c>
      <c r="KR26" s="157">
        <f t="shared" si="176"/>
        <v>707.39999999999986</v>
      </c>
      <c r="KS26" s="157">
        <f t="shared" si="177"/>
        <v>673.20000000000027</v>
      </c>
      <c r="KT26" s="157">
        <f t="shared" si="178"/>
        <v>3572.1</v>
      </c>
      <c r="KU26" s="157">
        <f t="shared" si="179"/>
        <v>534.20058823088448</v>
      </c>
      <c r="KV26" s="157">
        <f t="shared" si="180"/>
        <v>4245.3</v>
      </c>
      <c r="KW26" s="200">
        <f t="shared" si="181"/>
        <v>1</v>
      </c>
      <c r="KX26" s="157">
        <f t="shared" si="182"/>
        <v>534.20058823088448</v>
      </c>
      <c r="KY26" s="157">
        <f t="shared" si="183"/>
        <v>645.54794520547944</v>
      </c>
      <c r="KZ26" s="162">
        <f t="shared" si="47"/>
        <v>5064.0473569745945</v>
      </c>
      <c r="LA26" s="157">
        <f t="shared" si="184"/>
        <v>875</v>
      </c>
      <c r="LB26" s="157">
        <f t="shared" si="185"/>
        <v>0</v>
      </c>
      <c r="LC26" s="207">
        <f t="shared" si="186"/>
        <v>350</v>
      </c>
      <c r="LD26" s="207">
        <f t="shared" si="187"/>
        <v>0</v>
      </c>
      <c r="LE26" s="157">
        <f t="shared" si="188"/>
        <v>0</v>
      </c>
      <c r="LF26" s="157">
        <f t="shared" si="189"/>
        <v>0</v>
      </c>
      <c r="LG26" s="157">
        <f t="shared" si="190"/>
        <v>0</v>
      </c>
      <c r="LH26" s="168">
        <f t="shared" si="191"/>
        <v>0</v>
      </c>
      <c r="LI26" s="168">
        <f t="shared" si="192"/>
        <v>0</v>
      </c>
      <c r="LJ26" s="168">
        <f t="shared" si="193"/>
        <v>0</v>
      </c>
      <c r="LK26" s="157">
        <f t="shared" si="194"/>
        <v>5064.0473569745945</v>
      </c>
      <c r="LL26" s="168">
        <f t="shared" si="195"/>
        <v>15.562799999999998</v>
      </c>
      <c r="LM26" s="168">
        <f t="shared" si="196"/>
        <v>11.752412941079458</v>
      </c>
      <c r="LN26" s="168">
        <f t="shared" si="197"/>
        <v>111.40904185344107</v>
      </c>
      <c r="LO26" s="168">
        <f t="shared" si="198"/>
        <v>111.40904185344107</v>
      </c>
      <c r="LP26" s="168">
        <f t="shared" si="199"/>
        <v>155.87105479452055</v>
      </c>
      <c r="LQ26" s="157">
        <f t="shared" si="200"/>
        <v>707.39999999999986</v>
      </c>
      <c r="LR26" s="168">
        <f t="shared" si="201"/>
        <v>0</v>
      </c>
      <c r="LT26" s="168">
        <f t="shared" si="202"/>
        <v>63.082799999999999</v>
      </c>
      <c r="LU26" s="168">
        <f t="shared" si="203"/>
        <v>30.373200000000001</v>
      </c>
      <c r="LV26" s="181"/>
      <c r="LY26" s="168">
        <f t="shared" ref="LY26:LZ41" si="254">LY25</f>
        <v>2.5</v>
      </c>
      <c r="LZ26" s="161">
        <f t="shared" si="254"/>
        <v>350</v>
      </c>
      <c r="MA26" s="161">
        <f t="shared" si="48"/>
        <v>525</v>
      </c>
      <c r="MB26" s="161">
        <f t="shared" si="49"/>
        <v>875</v>
      </c>
      <c r="MC26" s="161">
        <v>22</v>
      </c>
      <c r="MD26" s="168">
        <f t="shared" si="204"/>
        <v>2.5</v>
      </c>
      <c r="ME26" s="161">
        <v>350</v>
      </c>
      <c r="MF26" s="161">
        <v>525</v>
      </c>
      <c r="MG26" s="161">
        <v>875</v>
      </c>
      <c r="MH26" s="168">
        <f t="shared" ref="MH26:MH41" si="255">MH25</f>
        <v>0.56785714285714284</v>
      </c>
      <c r="MI26" s="154">
        <f t="shared" si="205"/>
        <v>21</v>
      </c>
      <c r="MJ26" s="181">
        <f t="shared" si="206"/>
        <v>13.584745762711865</v>
      </c>
      <c r="MK26" s="181">
        <f t="shared" si="207"/>
        <v>0</v>
      </c>
      <c r="ML26" s="154">
        <f t="shared" si="208"/>
        <v>-19.5</v>
      </c>
      <c r="MM26" s="181">
        <f t="shared" si="209"/>
        <v>-4.3773584905660368</v>
      </c>
      <c r="MN26" s="181">
        <f t="shared" si="210"/>
        <v>-4.3773584905660368</v>
      </c>
      <c r="MO26" s="181">
        <f t="shared" si="211"/>
        <v>15</v>
      </c>
      <c r="MP26" s="181">
        <f t="shared" si="212"/>
        <v>0</v>
      </c>
      <c r="MQ26" s="157">
        <f t="shared" si="50"/>
        <v>961.8</v>
      </c>
      <c r="MR26" s="157">
        <f t="shared" si="213"/>
        <v>2867.4</v>
      </c>
      <c r="MS26" s="157">
        <f t="shared" si="214"/>
        <v>1232.3999999999999</v>
      </c>
      <c r="MT26" s="157">
        <f t="shared" si="215"/>
        <v>673.20000000000027</v>
      </c>
      <c r="MU26" s="157">
        <f t="shared" si="216"/>
        <v>3572.1</v>
      </c>
      <c r="MV26" s="157">
        <f t="shared" si="217"/>
        <v>534.20058823088448</v>
      </c>
      <c r="MW26" s="157">
        <f t="shared" si="218"/>
        <v>4245.3</v>
      </c>
      <c r="MX26" s="200">
        <f t="shared" si="219"/>
        <v>1</v>
      </c>
      <c r="MY26" s="157">
        <f t="shared" si="220"/>
        <v>534.20058823088448</v>
      </c>
      <c r="MZ26" s="157">
        <f t="shared" si="221"/>
        <v>645.54794520547944</v>
      </c>
      <c r="NA26" s="162">
        <f t="shared" si="222"/>
        <v>5589.0473569745945</v>
      </c>
      <c r="NB26" s="157">
        <f t="shared" si="223"/>
        <v>875</v>
      </c>
      <c r="NC26" s="157">
        <f t="shared" si="224"/>
        <v>525</v>
      </c>
      <c r="ND26" s="207">
        <f t="shared" si="51"/>
        <v>350</v>
      </c>
      <c r="NE26" s="207">
        <f t="shared" si="225"/>
        <v>350</v>
      </c>
      <c r="NF26" s="157">
        <f t="shared" si="226"/>
        <v>350</v>
      </c>
      <c r="NG26" s="157">
        <f t="shared" si="52"/>
        <v>525</v>
      </c>
      <c r="NH26" s="157">
        <f t="shared" si="53"/>
        <v>875</v>
      </c>
      <c r="NI26" s="168">
        <f t="shared" si="227"/>
        <v>7.6999999999999993</v>
      </c>
      <c r="NJ26" s="168">
        <f t="shared" si="228"/>
        <v>11.55</v>
      </c>
      <c r="NK26" s="168">
        <f t="shared" si="229"/>
        <v>19.25</v>
      </c>
      <c r="NL26" s="157">
        <f t="shared" si="230"/>
        <v>4714.0473569745945</v>
      </c>
      <c r="NM26" s="168">
        <f t="shared" si="231"/>
        <v>27.1128</v>
      </c>
      <c r="NN26" s="168">
        <f t="shared" si="232"/>
        <v>11.752412941079458</v>
      </c>
      <c r="NO26" s="168">
        <f t="shared" si="233"/>
        <v>122.95904185344108</v>
      </c>
      <c r="NP26" s="168">
        <f t="shared" si="234"/>
        <v>103.70904185344108</v>
      </c>
      <c r="NQ26" s="168">
        <f t="shared" si="235"/>
        <v>155.87105479452055</v>
      </c>
      <c r="NR26" s="157">
        <f t="shared" si="236"/>
        <v>1232.3999999999999</v>
      </c>
      <c r="NS26" s="168">
        <f t="shared" si="237"/>
        <v>11.55</v>
      </c>
      <c r="NT26" s="157">
        <f t="shared" si="238"/>
        <v>7085.0479452054797</v>
      </c>
      <c r="NU26" s="168">
        <f t="shared" si="239"/>
        <v>63.082799999999999</v>
      </c>
      <c r="NV26" s="168">
        <f t="shared" si="240"/>
        <v>41.923200000000001</v>
      </c>
      <c r="NW26" s="181"/>
      <c r="NX26" s="157"/>
      <c r="NY26" s="157"/>
      <c r="NZ26" s="157"/>
      <c r="OA26" s="157"/>
      <c r="OB26" s="157"/>
    </row>
    <row r="27" spans="1:392" ht="13" x14ac:dyDescent="0.3">
      <c r="A27" s="154">
        <v>0.55936073059360725</v>
      </c>
      <c r="B27" s="154">
        <v>-18.5</v>
      </c>
      <c r="C27" s="154">
        <f t="shared" si="241"/>
        <v>-18.5</v>
      </c>
      <c r="D27" s="154">
        <v>233.6</v>
      </c>
      <c r="E27" s="200">
        <f t="shared" si="242"/>
        <v>11.680000000000001</v>
      </c>
      <c r="F27" s="181">
        <f t="shared" si="54"/>
        <v>3483.9</v>
      </c>
      <c r="G27" s="161">
        <f>(A27-A26)/100*8760</f>
        <v>19.999999999999996</v>
      </c>
      <c r="H27" s="154">
        <f t="shared" si="55"/>
        <v>3.4839000000000002</v>
      </c>
      <c r="I27" s="161">
        <f t="shared" si="56"/>
        <v>789.99999999999989</v>
      </c>
      <c r="J27" s="181">
        <f t="shared" si="57"/>
        <v>21</v>
      </c>
      <c r="K27" s="181">
        <f t="shared" si="58"/>
        <v>13.584745762711865</v>
      </c>
      <c r="L27" s="181">
        <f t="shared" si="59"/>
        <v>0</v>
      </c>
      <c r="M27" s="181">
        <f t="shared" si="60"/>
        <v>-18.5</v>
      </c>
      <c r="N27" s="181">
        <f t="shared" si="61"/>
        <v>-3.3773584905660368</v>
      </c>
      <c r="O27" s="181">
        <f t="shared" si="62"/>
        <v>-3.3773584905660368</v>
      </c>
      <c r="P27" s="181">
        <f t="shared" si="63"/>
        <v>15</v>
      </c>
      <c r="Q27" s="181">
        <f t="shared" si="64"/>
        <v>2.1257861635220143</v>
      </c>
      <c r="R27" s="168">
        <f t="shared" si="65"/>
        <v>17.499999999999996</v>
      </c>
      <c r="S27" s="161">
        <f t="shared" si="66"/>
        <v>126.3888249862685</v>
      </c>
      <c r="T27" s="161">
        <f t="shared" si="67"/>
        <v>90.400124924614474</v>
      </c>
      <c r="U27" s="161">
        <f t="shared" si="68"/>
        <v>80.862283794236262</v>
      </c>
      <c r="V27" s="154">
        <f t="shared" si="69"/>
        <v>1.1688000000000001</v>
      </c>
      <c r="W27" s="154">
        <f t="shared" si="70"/>
        <v>4.482641249313426</v>
      </c>
      <c r="X27" s="154">
        <f t="shared" si="71"/>
        <v>6.3194412493134262</v>
      </c>
      <c r="Y27" s="154">
        <f t="shared" si="72"/>
        <v>6.9260479452054797</v>
      </c>
      <c r="Z27" s="154">
        <f t="shared" si="73"/>
        <v>2.7965999999999998</v>
      </c>
      <c r="AA27" s="154">
        <f t="shared" si="74"/>
        <v>0.60660669589205396</v>
      </c>
      <c r="AB27" s="154">
        <f t="shared" si="26"/>
        <v>5.357641249313426</v>
      </c>
      <c r="AC27" s="154">
        <f t="shared" si="27"/>
        <v>0.64554794520547942</v>
      </c>
      <c r="AD27" s="154">
        <f t="shared" si="28"/>
        <v>0.35</v>
      </c>
      <c r="AE27" s="154">
        <f t="shared" si="29"/>
        <v>0.52500000000000002</v>
      </c>
      <c r="AF27" s="154">
        <f t="shared" si="30"/>
        <v>0.875</v>
      </c>
      <c r="AG27" s="154">
        <f t="shared" si="75"/>
        <v>0.96179999999999999</v>
      </c>
      <c r="AH27" s="154">
        <f t="shared" si="76"/>
        <v>1.8368</v>
      </c>
      <c r="AI27" s="154">
        <f t="shared" si="77"/>
        <v>0.58732876712328763</v>
      </c>
      <c r="AJ27" s="154">
        <f t="shared" si="78"/>
        <v>5.8219178082191785E-2</v>
      </c>
      <c r="AK27" s="154">
        <f t="shared" si="79"/>
        <v>0</v>
      </c>
      <c r="AL27" s="161">
        <f t="shared" si="80"/>
        <v>587.32876712328766</v>
      </c>
      <c r="AM27" s="161">
        <f t="shared" si="81"/>
        <v>58.219178082191782</v>
      </c>
      <c r="AN27" s="161">
        <f t="shared" si="82"/>
        <v>0</v>
      </c>
      <c r="AO27" s="161"/>
      <c r="AP27" s="154">
        <f t="shared" si="83"/>
        <v>0.64554794520547942</v>
      </c>
      <c r="AQ27" s="154">
        <f t="shared" si="84"/>
        <v>0.64554794520547942</v>
      </c>
      <c r="AR27" s="154">
        <f t="shared" si="85"/>
        <v>3.0056000000000003</v>
      </c>
      <c r="AS27" s="161"/>
      <c r="AT27" s="161"/>
      <c r="AU27" s="161"/>
      <c r="AV27" s="161"/>
      <c r="AW27" s="181"/>
      <c r="AX27" s="181"/>
      <c r="AY27" s="181"/>
      <c r="AZ27" s="181"/>
      <c r="BA27" s="181"/>
      <c r="BB27" s="161"/>
      <c r="BC27" s="161"/>
      <c r="BD27" s="161"/>
      <c r="BE27" s="181"/>
      <c r="BF27" s="168"/>
      <c r="BG27" s="181"/>
      <c r="BH27" s="168"/>
      <c r="BI27" s="168"/>
      <c r="BJ27" s="161"/>
      <c r="BK27" s="168"/>
      <c r="BL27" s="168"/>
      <c r="BM27" s="168"/>
      <c r="BN27" s="168"/>
      <c r="BO27" s="168">
        <f t="shared" si="86"/>
        <v>11.74657534246575</v>
      </c>
      <c r="BP27" s="168">
        <f t="shared" si="87"/>
        <v>1.1643835616438354</v>
      </c>
      <c r="BQ27" s="168">
        <f t="shared" si="88"/>
        <v>0</v>
      </c>
      <c r="BR27" s="181"/>
      <c r="BS27" s="161"/>
      <c r="BT27" s="168"/>
      <c r="BU27" s="161"/>
      <c r="BV27" s="161"/>
      <c r="BW27" s="161"/>
      <c r="BX27" s="161"/>
      <c r="CB27" s="181">
        <f t="shared" si="89"/>
        <v>10.710577511244379</v>
      </c>
      <c r="CC27" s="181">
        <f t="shared" si="32"/>
        <v>0</v>
      </c>
      <c r="CD27" s="181">
        <f t="shared" si="32"/>
        <v>12.518657271364319</v>
      </c>
      <c r="CE27" s="181">
        <f t="shared" si="32"/>
        <v>0</v>
      </c>
      <c r="CF27" s="181">
        <f t="shared" si="32"/>
        <v>41.642439580209903</v>
      </c>
      <c r="CG27" s="181">
        <f t="shared" si="32"/>
        <v>0</v>
      </c>
      <c r="CH27" s="181">
        <f t="shared" si="32"/>
        <v>12.535021529235387</v>
      </c>
      <c r="CI27" s="181">
        <f t="shared" si="32"/>
        <v>0</v>
      </c>
      <c r="CJ27" s="182">
        <f>SUM(CB27:CI27)</f>
        <v>77.406695892053989</v>
      </c>
      <c r="CK27" s="161">
        <f t="shared" si="91"/>
        <v>77.406695892053989</v>
      </c>
      <c r="CL27" s="161">
        <f t="shared" si="243"/>
        <v>529.19999999999993</v>
      </c>
      <c r="CM27" s="182">
        <f t="shared" si="92"/>
        <v>606.60669589205395</v>
      </c>
      <c r="CN27" s="157">
        <f>CJ27*G27/1000</f>
        <v>1.5481339178410793</v>
      </c>
      <c r="CO27" s="162">
        <f t="shared" si="94"/>
        <v>606.60669589205395</v>
      </c>
      <c r="FT27" s="168">
        <f t="shared" si="244"/>
        <v>2.5</v>
      </c>
      <c r="FU27" s="161">
        <f t="shared" si="245"/>
        <v>350</v>
      </c>
      <c r="FV27" s="161">
        <f t="shared" si="33"/>
        <v>525</v>
      </c>
      <c r="FW27" s="161">
        <f t="shared" si="95"/>
        <v>875</v>
      </c>
      <c r="FX27" s="161">
        <v>19.999999999999996</v>
      </c>
      <c r="FY27" s="168">
        <f t="shared" si="96"/>
        <v>2.5</v>
      </c>
      <c r="FZ27" s="161">
        <v>350</v>
      </c>
      <c r="GA27" s="161">
        <v>525</v>
      </c>
      <c r="GB27" s="161">
        <v>875</v>
      </c>
      <c r="GC27" s="168">
        <f t="shared" si="246"/>
        <v>0.56785714285714284</v>
      </c>
      <c r="GD27" s="154">
        <f t="shared" si="97"/>
        <v>21</v>
      </c>
      <c r="GE27" s="181">
        <f t="shared" si="98"/>
        <v>13.584745762711865</v>
      </c>
      <c r="GF27" s="181">
        <f t="shared" si="34"/>
        <v>0</v>
      </c>
      <c r="GG27" s="154">
        <f t="shared" si="99"/>
        <v>-18.5</v>
      </c>
      <c r="GH27" s="181">
        <f t="shared" si="100"/>
        <v>-3.3773584905660368</v>
      </c>
      <c r="GI27" s="181">
        <f t="shared" si="101"/>
        <v>10.380503144654091</v>
      </c>
      <c r="GJ27" s="181">
        <f t="shared" si="102"/>
        <v>15</v>
      </c>
      <c r="GK27" s="181">
        <f t="shared" si="103"/>
        <v>0</v>
      </c>
      <c r="GL27" s="157">
        <f t="shared" si="104"/>
        <v>961.8</v>
      </c>
      <c r="GM27" s="157">
        <f t="shared" si="105"/>
        <v>2796.6</v>
      </c>
      <c r="GN27" s="157">
        <f t="shared" si="106"/>
        <v>293.79999999999984</v>
      </c>
      <c r="GO27" s="157">
        <f t="shared" si="107"/>
        <v>1541</v>
      </c>
      <c r="GP27" s="157">
        <f t="shared" si="108"/>
        <v>3483.9</v>
      </c>
      <c r="GQ27" s="157">
        <f t="shared" si="109"/>
        <v>606.60669589205395</v>
      </c>
      <c r="GR27" s="157">
        <f t="shared" si="110"/>
        <v>5024.8999999999996</v>
      </c>
      <c r="GS27" s="200">
        <f t="shared" si="111"/>
        <v>1</v>
      </c>
      <c r="GT27" s="157">
        <f t="shared" si="112"/>
        <v>606.60669589205395</v>
      </c>
      <c r="GU27" s="157">
        <f t="shared" si="113"/>
        <v>645.54794520547944</v>
      </c>
      <c r="GV27" s="162">
        <f t="shared" si="114"/>
        <v>5357.6412493134258</v>
      </c>
      <c r="GW27" s="157">
        <f t="shared" si="115"/>
        <v>875</v>
      </c>
      <c r="GX27" s="157">
        <f t="shared" si="247"/>
        <v>525</v>
      </c>
      <c r="GY27" s="207">
        <f t="shared" si="35"/>
        <v>350</v>
      </c>
      <c r="GZ27" s="207">
        <f t="shared" si="116"/>
        <v>350</v>
      </c>
      <c r="HA27" s="157">
        <f t="shared" si="117"/>
        <v>350</v>
      </c>
      <c r="HB27" s="157">
        <f t="shared" si="36"/>
        <v>525</v>
      </c>
      <c r="HC27" s="157">
        <f t="shared" si="37"/>
        <v>875</v>
      </c>
      <c r="HD27" s="168">
        <f t="shared" si="38"/>
        <v>6.9999999999999982</v>
      </c>
      <c r="HE27" s="168">
        <f t="shared" si="118"/>
        <v>10.499999999999998</v>
      </c>
      <c r="HF27" s="168">
        <f t="shared" si="39"/>
        <v>17.499999999999996</v>
      </c>
      <c r="HG27" s="157">
        <f t="shared" si="119"/>
        <v>4482.6412493134258</v>
      </c>
      <c r="HH27" s="168">
        <f t="shared" si="120"/>
        <v>5.8759999999999959</v>
      </c>
      <c r="HI27" s="168">
        <f t="shared" si="121"/>
        <v>12.132133917841077</v>
      </c>
      <c r="HJ27" s="168">
        <f t="shared" si="122"/>
        <v>107.1528249862685</v>
      </c>
      <c r="HK27" s="168">
        <f t="shared" si="123"/>
        <v>89.652824986268499</v>
      </c>
      <c r="HL27" s="168">
        <f t="shared" si="124"/>
        <v>138.52095890410956</v>
      </c>
      <c r="HM27" s="157">
        <f t="shared" si="125"/>
        <v>1168.8</v>
      </c>
      <c r="HN27" s="168">
        <f t="shared" si="126"/>
        <v>10.499999999999998</v>
      </c>
      <c r="HP27" s="168">
        <f t="shared" si="127"/>
        <v>55.931999999999988</v>
      </c>
      <c r="HQ27" s="168">
        <f t="shared" si="128"/>
        <v>36.695999999999991</v>
      </c>
      <c r="HR27" s="181"/>
      <c r="HU27" s="168">
        <f t="shared" si="248"/>
        <v>2.5</v>
      </c>
      <c r="HV27" s="161">
        <f t="shared" si="248"/>
        <v>350</v>
      </c>
      <c r="HW27" s="161">
        <f t="shared" si="40"/>
        <v>525</v>
      </c>
      <c r="HX27" s="161">
        <f t="shared" si="41"/>
        <v>875</v>
      </c>
      <c r="HY27" s="161">
        <v>19.999999999999996</v>
      </c>
      <c r="HZ27" s="168">
        <f t="shared" si="129"/>
        <v>2.5</v>
      </c>
      <c r="IA27" s="161">
        <v>0</v>
      </c>
      <c r="IB27" s="161">
        <v>0</v>
      </c>
      <c r="IC27" s="161">
        <v>0</v>
      </c>
      <c r="ID27" s="168">
        <f t="shared" si="249"/>
        <v>0.56785714285714284</v>
      </c>
      <c r="IE27" s="154">
        <f t="shared" si="130"/>
        <v>21</v>
      </c>
      <c r="IF27" s="154">
        <f t="shared" si="131"/>
        <v>-18.5</v>
      </c>
      <c r="IG27" s="181">
        <f t="shared" si="132"/>
        <v>0</v>
      </c>
      <c r="IH27" s="181">
        <f t="shared" si="133"/>
        <v>4.8773584905660385</v>
      </c>
      <c r="II27" s="181">
        <f t="shared" si="134"/>
        <v>0</v>
      </c>
      <c r="IJ27" s="181">
        <f t="shared" si="135"/>
        <v>4.8773584905660385</v>
      </c>
      <c r="IK27" s="181">
        <f t="shared" si="136"/>
        <v>15</v>
      </c>
      <c r="IL27" s="181">
        <f t="shared" si="250"/>
        <v>0</v>
      </c>
      <c r="IM27" s="181">
        <f t="shared" si="137"/>
        <v>0</v>
      </c>
      <c r="IN27" s="157">
        <f t="shared" si="138"/>
        <v>1486.8</v>
      </c>
      <c r="IO27" s="157">
        <f t="shared" si="139"/>
        <v>2796.6</v>
      </c>
      <c r="IP27" s="157">
        <f t="shared" si="42"/>
        <v>643.79999999999984</v>
      </c>
      <c r="IQ27" s="157">
        <f t="shared" si="43"/>
        <v>666.00000000000011</v>
      </c>
      <c r="IR27" s="157">
        <f t="shared" si="140"/>
        <v>3483.9</v>
      </c>
      <c r="IS27" s="157">
        <f t="shared" si="141"/>
        <v>606.60669589205395</v>
      </c>
      <c r="IT27" s="157">
        <f t="shared" si="142"/>
        <v>4149.9000000000005</v>
      </c>
      <c r="IU27" s="200">
        <f t="shared" si="143"/>
        <v>1</v>
      </c>
      <c r="IV27" s="157">
        <f t="shared" si="144"/>
        <v>606.60669589205395</v>
      </c>
      <c r="IW27" s="157">
        <f t="shared" si="145"/>
        <v>645.54794520547944</v>
      </c>
      <c r="IX27" s="162">
        <f t="shared" si="146"/>
        <v>4832.6412493134258</v>
      </c>
      <c r="IY27" s="157">
        <f t="shared" si="22"/>
        <v>875</v>
      </c>
      <c r="IZ27" s="157">
        <f t="shared" si="147"/>
        <v>0</v>
      </c>
      <c r="JA27" s="207">
        <f t="shared" si="148"/>
        <v>350</v>
      </c>
      <c r="JB27" s="207">
        <f t="shared" si="149"/>
        <v>0</v>
      </c>
      <c r="JC27" s="157">
        <f t="shared" si="150"/>
        <v>0</v>
      </c>
      <c r="JD27" s="157">
        <f t="shared" si="151"/>
        <v>0</v>
      </c>
      <c r="JE27" s="157">
        <f t="shared" si="152"/>
        <v>0</v>
      </c>
      <c r="JF27" s="168">
        <f t="shared" si="153"/>
        <v>0</v>
      </c>
      <c r="JG27" s="168">
        <f t="shared" si="154"/>
        <v>0</v>
      </c>
      <c r="JH27" s="168">
        <f t="shared" si="155"/>
        <v>0</v>
      </c>
      <c r="JI27" s="157">
        <f t="shared" si="156"/>
        <v>4832.6412493134258</v>
      </c>
      <c r="JJ27" s="168">
        <f t="shared" si="157"/>
        <v>12.875999999999994</v>
      </c>
      <c r="JK27" s="168">
        <f t="shared" si="158"/>
        <v>12.132133917841077</v>
      </c>
      <c r="JL27" s="168">
        <f t="shared" si="159"/>
        <v>96.652824986268499</v>
      </c>
      <c r="JM27" s="168">
        <f t="shared" si="160"/>
        <v>96.652824986268499</v>
      </c>
      <c r="JN27" s="168">
        <f t="shared" si="161"/>
        <v>138.52095890410956</v>
      </c>
      <c r="JO27" s="157">
        <f t="shared" si="162"/>
        <v>643.79999999999995</v>
      </c>
      <c r="JP27" s="168">
        <f t="shared" si="163"/>
        <v>0</v>
      </c>
      <c r="JR27" s="168">
        <f t="shared" si="164"/>
        <v>55.931999999999988</v>
      </c>
      <c r="JS27" s="168">
        <f t="shared" si="165"/>
        <v>26.195999999999991</v>
      </c>
      <c r="JT27" s="181"/>
      <c r="JW27" s="168">
        <f t="shared" ref="JW27:JX27" si="256">JW26</f>
        <v>2.5</v>
      </c>
      <c r="JX27" s="161">
        <f t="shared" si="256"/>
        <v>350</v>
      </c>
      <c r="JY27" s="161">
        <f t="shared" si="44"/>
        <v>525</v>
      </c>
      <c r="JZ27" s="161">
        <f t="shared" si="45"/>
        <v>875</v>
      </c>
      <c r="KA27" s="161">
        <v>19.999999999999996</v>
      </c>
      <c r="KB27" s="168">
        <f t="shared" si="166"/>
        <v>2.5</v>
      </c>
      <c r="KC27" s="161">
        <v>0</v>
      </c>
      <c r="KD27" s="161">
        <v>0</v>
      </c>
      <c r="KE27" s="161">
        <v>0</v>
      </c>
      <c r="KF27" s="168">
        <f t="shared" ref="KF27" si="257">KF26</f>
        <v>0.56785714285714284</v>
      </c>
      <c r="KG27" s="154">
        <f t="shared" si="167"/>
        <v>21</v>
      </c>
      <c r="KH27" s="154">
        <f t="shared" si="168"/>
        <v>-18.5</v>
      </c>
      <c r="KI27" s="181">
        <f t="shared" si="169"/>
        <v>0</v>
      </c>
      <c r="KJ27" s="181">
        <f t="shared" si="170"/>
        <v>4.8773584905660385</v>
      </c>
      <c r="KK27" s="181">
        <f t="shared" si="171"/>
        <v>0</v>
      </c>
      <c r="KL27" s="181">
        <f t="shared" si="172"/>
        <v>4.8773584905660385</v>
      </c>
      <c r="KM27" s="181">
        <f t="shared" si="173"/>
        <v>15</v>
      </c>
      <c r="KN27" s="181">
        <f t="shared" si="253"/>
        <v>0</v>
      </c>
      <c r="KO27" s="181">
        <f t="shared" si="174"/>
        <v>0</v>
      </c>
      <c r="KP27" s="157">
        <f t="shared" si="175"/>
        <v>1486.8</v>
      </c>
      <c r="KQ27" s="157">
        <f t="shared" si="46"/>
        <v>2796.6</v>
      </c>
      <c r="KR27" s="157">
        <f t="shared" si="176"/>
        <v>643.79999999999984</v>
      </c>
      <c r="KS27" s="157">
        <f t="shared" si="177"/>
        <v>666.00000000000011</v>
      </c>
      <c r="KT27" s="157">
        <f t="shared" si="178"/>
        <v>3483.9</v>
      </c>
      <c r="KU27" s="157">
        <f t="shared" si="179"/>
        <v>606.60669589205395</v>
      </c>
      <c r="KV27" s="157">
        <f t="shared" si="180"/>
        <v>4149.9000000000005</v>
      </c>
      <c r="KW27" s="200">
        <f t="shared" si="181"/>
        <v>1</v>
      </c>
      <c r="KX27" s="157">
        <f t="shared" si="182"/>
        <v>606.60669589205395</v>
      </c>
      <c r="KY27" s="157">
        <f t="shared" si="183"/>
        <v>645.54794520547944</v>
      </c>
      <c r="KZ27" s="162">
        <f t="shared" si="47"/>
        <v>4832.6412493134258</v>
      </c>
      <c r="LA27" s="157">
        <f t="shared" si="184"/>
        <v>875</v>
      </c>
      <c r="LB27" s="157">
        <f t="shared" si="185"/>
        <v>0</v>
      </c>
      <c r="LC27" s="207">
        <f t="shared" si="186"/>
        <v>350</v>
      </c>
      <c r="LD27" s="207">
        <f t="shared" si="187"/>
        <v>0</v>
      </c>
      <c r="LE27" s="157">
        <f t="shared" si="188"/>
        <v>0</v>
      </c>
      <c r="LF27" s="157">
        <f t="shared" si="189"/>
        <v>0</v>
      </c>
      <c r="LG27" s="157">
        <f t="shared" si="190"/>
        <v>0</v>
      </c>
      <c r="LH27" s="168">
        <f t="shared" si="191"/>
        <v>0</v>
      </c>
      <c r="LI27" s="168">
        <f t="shared" si="192"/>
        <v>0</v>
      </c>
      <c r="LJ27" s="168">
        <f t="shared" si="193"/>
        <v>0</v>
      </c>
      <c r="LK27" s="157">
        <f t="shared" si="194"/>
        <v>4832.6412493134258</v>
      </c>
      <c r="LL27" s="168">
        <f t="shared" si="195"/>
        <v>12.875999999999994</v>
      </c>
      <c r="LM27" s="168">
        <f t="shared" si="196"/>
        <v>12.132133917841077</v>
      </c>
      <c r="LN27" s="168">
        <f t="shared" si="197"/>
        <v>96.652824986268499</v>
      </c>
      <c r="LO27" s="168">
        <f t="shared" si="198"/>
        <v>96.652824986268499</v>
      </c>
      <c r="LP27" s="168">
        <f t="shared" si="199"/>
        <v>138.52095890410956</v>
      </c>
      <c r="LQ27" s="157">
        <f t="shared" si="200"/>
        <v>643.79999999999995</v>
      </c>
      <c r="LR27" s="168">
        <f t="shared" si="201"/>
        <v>0</v>
      </c>
      <c r="LT27" s="168">
        <f t="shared" si="202"/>
        <v>55.931999999999988</v>
      </c>
      <c r="LU27" s="168">
        <f t="shared" si="203"/>
        <v>26.195999999999991</v>
      </c>
      <c r="LV27" s="181"/>
      <c r="LY27" s="168">
        <f t="shared" si="254"/>
        <v>2.5</v>
      </c>
      <c r="LZ27" s="161">
        <f t="shared" si="254"/>
        <v>350</v>
      </c>
      <c r="MA27" s="161">
        <f t="shared" si="48"/>
        <v>525</v>
      </c>
      <c r="MB27" s="161">
        <f t="shared" si="49"/>
        <v>875</v>
      </c>
      <c r="MC27" s="161">
        <v>19.999999999999996</v>
      </c>
      <c r="MD27" s="168">
        <f t="shared" si="204"/>
        <v>2.5</v>
      </c>
      <c r="ME27" s="161">
        <v>350</v>
      </c>
      <c r="MF27" s="161">
        <v>525</v>
      </c>
      <c r="MG27" s="161">
        <v>875</v>
      </c>
      <c r="MH27" s="168">
        <f t="shared" si="255"/>
        <v>0.56785714285714284</v>
      </c>
      <c r="MI27" s="154">
        <f t="shared" si="205"/>
        <v>21</v>
      </c>
      <c r="MJ27" s="181">
        <f t="shared" si="206"/>
        <v>13.584745762711865</v>
      </c>
      <c r="MK27" s="181">
        <f t="shared" si="207"/>
        <v>0</v>
      </c>
      <c r="ML27" s="154">
        <f t="shared" si="208"/>
        <v>-18.5</v>
      </c>
      <c r="MM27" s="181">
        <f t="shared" si="209"/>
        <v>-3.3773584905660368</v>
      </c>
      <c r="MN27" s="181">
        <f t="shared" si="210"/>
        <v>-3.3773584905660368</v>
      </c>
      <c r="MO27" s="181">
        <f t="shared" si="211"/>
        <v>15</v>
      </c>
      <c r="MP27" s="181">
        <f t="shared" si="212"/>
        <v>0</v>
      </c>
      <c r="MQ27" s="157">
        <f t="shared" si="50"/>
        <v>961.8</v>
      </c>
      <c r="MR27" s="157">
        <f t="shared" si="213"/>
        <v>2796.6</v>
      </c>
      <c r="MS27" s="157">
        <f t="shared" si="214"/>
        <v>1168.8</v>
      </c>
      <c r="MT27" s="157">
        <f t="shared" si="215"/>
        <v>666</v>
      </c>
      <c r="MU27" s="157">
        <f t="shared" si="216"/>
        <v>3483.9</v>
      </c>
      <c r="MV27" s="157">
        <f t="shared" si="217"/>
        <v>606.60669589205395</v>
      </c>
      <c r="MW27" s="157">
        <f t="shared" si="218"/>
        <v>4149.8999999999996</v>
      </c>
      <c r="MX27" s="200">
        <f t="shared" si="219"/>
        <v>1</v>
      </c>
      <c r="MY27" s="157">
        <f t="shared" si="220"/>
        <v>606.60669589205395</v>
      </c>
      <c r="MZ27" s="157">
        <f t="shared" si="221"/>
        <v>645.54794520547944</v>
      </c>
      <c r="NA27" s="162">
        <f t="shared" si="222"/>
        <v>5357.6412493134258</v>
      </c>
      <c r="NB27" s="157">
        <f t="shared" si="223"/>
        <v>875</v>
      </c>
      <c r="NC27" s="157">
        <f t="shared" si="224"/>
        <v>525</v>
      </c>
      <c r="ND27" s="207">
        <f t="shared" si="51"/>
        <v>350</v>
      </c>
      <c r="NE27" s="207">
        <f t="shared" si="225"/>
        <v>350</v>
      </c>
      <c r="NF27" s="157">
        <f t="shared" si="226"/>
        <v>350</v>
      </c>
      <c r="NG27" s="157">
        <f t="shared" si="52"/>
        <v>525</v>
      </c>
      <c r="NH27" s="157">
        <f t="shared" si="53"/>
        <v>875</v>
      </c>
      <c r="NI27" s="168">
        <f t="shared" si="227"/>
        <v>6.9999999999999982</v>
      </c>
      <c r="NJ27" s="168">
        <f t="shared" si="228"/>
        <v>10.499999999999998</v>
      </c>
      <c r="NK27" s="168">
        <f t="shared" si="229"/>
        <v>17.499999999999996</v>
      </c>
      <c r="NL27" s="157">
        <f t="shared" si="230"/>
        <v>4482.6412493134258</v>
      </c>
      <c r="NM27" s="168">
        <f t="shared" si="231"/>
        <v>23.375999999999998</v>
      </c>
      <c r="NN27" s="168">
        <f t="shared" si="232"/>
        <v>12.132133917841077</v>
      </c>
      <c r="NO27" s="168">
        <f t="shared" si="233"/>
        <v>107.1528249862685</v>
      </c>
      <c r="NP27" s="168">
        <f t="shared" si="234"/>
        <v>89.652824986268499</v>
      </c>
      <c r="NQ27" s="168">
        <f t="shared" si="235"/>
        <v>138.52095890410956</v>
      </c>
      <c r="NR27" s="157">
        <f t="shared" si="236"/>
        <v>1168.8</v>
      </c>
      <c r="NS27" s="168">
        <f t="shared" si="237"/>
        <v>10.499999999999998</v>
      </c>
      <c r="NT27" s="157">
        <f t="shared" si="238"/>
        <v>6926.0479452054797</v>
      </c>
      <c r="NU27" s="168">
        <f t="shared" si="239"/>
        <v>55.931999999999988</v>
      </c>
      <c r="NV27" s="168">
        <f t="shared" si="240"/>
        <v>36.695999999999991</v>
      </c>
      <c r="NW27" s="181"/>
      <c r="NX27" s="157"/>
      <c r="NY27" s="157"/>
      <c r="NZ27" s="157"/>
      <c r="OA27" s="157"/>
      <c r="OB27" s="157"/>
    </row>
    <row r="28" spans="1:392" ht="13" x14ac:dyDescent="0.3">
      <c r="A28" s="154">
        <v>0.83333333333333337</v>
      </c>
      <c r="B28" s="154">
        <v>-17.5</v>
      </c>
      <c r="C28" s="154">
        <f t="shared" si="241"/>
        <v>-17.5</v>
      </c>
      <c r="D28" s="154">
        <v>606.20000000000005</v>
      </c>
      <c r="E28" s="200">
        <f t="shared" si="242"/>
        <v>25.258333333333329</v>
      </c>
      <c r="F28" s="181">
        <f t="shared" si="54"/>
        <v>3395.7000000000003</v>
      </c>
      <c r="G28" s="161">
        <f t="shared" ref="G28:G57" si="258">(A28-A27)/100*8760</f>
        <v>24.000000000000007</v>
      </c>
      <c r="H28" s="154">
        <f t="shared" si="55"/>
        <v>3.3957000000000002</v>
      </c>
      <c r="I28" s="161">
        <f t="shared" si="56"/>
        <v>924.00000000000023</v>
      </c>
      <c r="J28" s="181">
        <f t="shared" si="57"/>
        <v>21</v>
      </c>
      <c r="K28" s="181">
        <f t="shared" si="58"/>
        <v>13.584745762711865</v>
      </c>
      <c r="L28" s="181">
        <f t="shared" si="59"/>
        <v>0</v>
      </c>
      <c r="M28" s="181">
        <f t="shared" si="60"/>
        <v>-17.5</v>
      </c>
      <c r="N28" s="181">
        <f t="shared" si="61"/>
        <v>-2.3773584905660368</v>
      </c>
      <c r="O28" s="181">
        <f t="shared" si="62"/>
        <v>-2.3773584905660368</v>
      </c>
      <c r="P28" s="181">
        <f t="shared" si="63"/>
        <v>15</v>
      </c>
      <c r="Q28" s="181">
        <f t="shared" si="64"/>
        <v>3.1257861635220143</v>
      </c>
      <c r="R28" s="168">
        <f t="shared" si="65"/>
        <v>21.000000000000007</v>
      </c>
      <c r="S28" s="161">
        <f t="shared" si="66"/>
        <v>145.69089014984908</v>
      </c>
      <c r="T28" s="161">
        <f t="shared" si="67"/>
        <v>88.90012492461446</v>
      </c>
      <c r="U28" s="161">
        <f t="shared" si="68"/>
        <v>77.947386104460861</v>
      </c>
      <c r="V28" s="154">
        <f t="shared" si="69"/>
        <v>1.1052</v>
      </c>
      <c r="W28" s="154">
        <f t="shared" si="70"/>
        <v>4.2336537562437098</v>
      </c>
      <c r="X28" s="154">
        <f t="shared" si="71"/>
        <v>6.07045375624371</v>
      </c>
      <c r="Y28" s="154">
        <f t="shared" si="72"/>
        <v>6.767047945205479</v>
      </c>
      <c r="Z28" s="154">
        <f t="shared" si="73"/>
        <v>2.7257999999999996</v>
      </c>
      <c r="AA28" s="154">
        <f t="shared" si="74"/>
        <v>0.69659418896176906</v>
      </c>
      <c r="AB28" s="154">
        <f t="shared" si="26"/>
        <v>5.1086537562437107</v>
      </c>
      <c r="AC28" s="154">
        <f t="shared" si="27"/>
        <v>0.64554794520547942</v>
      </c>
      <c r="AD28" s="154">
        <f t="shared" si="28"/>
        <v>0.35</v>
      </c>
      <c r="AE28" s="154">
        <f t="shared" si="29"/>
        <v>0.52500000000000002</v>
      </c>
      <c r="AF28" s="154">
        <f t="shared" si="30"/>
        <v>0.875</v>
      </c>
      <c r="AG28" s="154">
        <f t="shared" si="75"/>
        <v>0.96179999999999999</v>
      </c>
      <c r="AH28" s="154">
        <f t="shared" si="76"/>
        <v>1.8368</v>
      </c>
      <c r="AI28" s="154">
        <f t="shared" si="77"/>
        <v>0.58732876712328763</v>
      </c>
      <c r="AJ28" s="154">
        <f t="shared" si="78"/>
        <v>5.8219178082191785E-2</v>
      </c>
      <c r="AK28" s="154">
        <f t="shared" si="79"/>
        <v>0</v>
      </c>
      <c r="AL28" s="161">
        <f t="shared" si="80"/>
        <v>587.32876712328766</v>
      </c>
      <c r="AM28" s="161">
        <f t="shared" si="81"/>
        <v>58.219178082191782</v>
      </c>
      <c r="AN28" s="161">
        <f t="shared" si="82"/>
        <v>0</v>
      </c>
      <c r="AO28" s="161"/>
      <c r="AP28" s="154">
        <f t="shared" si="83"/>
        <v>0.64554794520547942</v>
      </c>
      <c r="AQ28" s="154">
        <f t="shared" si="84"/>
        <v>0.64554794520547942</v>
      </c>
      <c r="AR28" s="154">
        <f t="shared" si="85"/>
        <v>2.9420000000000002</v>
      </c>
      <c r="AS28" s="161"/>
      <c r="AT28" s="161"/>
      <c r="AU28" s="161"/>
      <c r="AV28" s="161"/>
      <c r="AW28" s="181"/>
      <c r="AX28" s="181"/>
      <c r="AY28" s="181"/>
      <c r="AZ28" s="181"/>
      <c r="BA28" s="181"/>
      <c r="BB28" s="161"/>
      <c r="BC28" s="161"/>
      <c r="BD28" s="161"/>
      <c r="BE28" s="181"/>
      <c r="BF28" s="168"/>
      <c r="BG28" s="181"/>
      <c r="BH28" s="168"/>
      <c r="BI28" s="168"/>
      <c r="BJ28" s="161"/>
      <c r="BK28" s="168"/>
      <c r="BL28" s="168"/>
      <c r="BM28" s="168"/>
      <c r="BN28" s="168"/>
      <c r="BO28" s="168">
        <f t="shared" si="86"/>
        <v>14.095890410958907</v>
      </c>
      <c r="BP28" s="168">
        <f t="shared" si="87"/>
        <v>1.3972602739726032</v>
      </c>
      <c r="BQ28" s="168">
        <f t="shared" si="88"/>
        <v>0</v>
      </c>
      <c r="BR28" s="181"/>
      <c r="BS28" s="161"/>
      <c r="BT28" s="168"/>
      <c r="BU28" s="161"/>
      <c r="BV28" s="161"/>
      <c r="BW28" s="161"/>
      <c r="BX28" s="161"/>
      <c r="CB28" s="181">
        <f t="shared" si="89"/>
        <v>23.161929535232375</v>
      </c>
      <c r="CC28" s="181">
        <f t="shared" si="32"/>
        <v>0</v>
      </c>
      <c r="CD28" s="181">
        <f t="shared" si="32"/>
        <v>27.071953616941521</v>
      </c>
      <c r="CE28" s="181">
        <f t="shared" si="32"/>
        <v>0</v>
      </c>
      <c r="CF28" s="181">
        <f t="shared" si="32"/>
        <v>90.052964017991002</v>
      </c>
      <c r="CG28" s="181">
        <f t="shared" si="32"/>
        <v>0</v>
      </c>
      <c r="CH28" s="181">
        <f t="shared" si="32"/>
        <v>27.107341791604195</v>
      </c>
      <c r="CI28" s="181">
        <f t="shared" si="32"/>
        <v>0</v>
      </c>
      <c r="CJ28" s="182">
        <f t="shared" si="90"/>
        <v>167.39418896176909</v>
      </c>
      <c r="CK28" s="161">
        <f t="shared" si="91"/>
        <v>167.39418896176909</v>
      </c>
      <c r="CL28" s="161">
        <f t="shared" si="243"/>
        <v>529.19999999999993</v>
      </c>
      <c r="CM28" s="182">
        <f t="shared" si="92"/>
        <v>696.59418896176908</v>
      </c>
      <c r="CN28" s="157">
        <f>CJ28*G28/1000</f>
        <v>4.0174605350824599</v>
      </c>
      <c r="CO28" s="162">
        <f t="shared" si="94"/>
        <v>696.59418896176908</v>
      </c>
      <c r="FT28" s="168">
        <f t="shared" si="244"/>
        <v>2.5</v>
      </c>
      <c r="FU28" s="161">
        <f t="shared" si="245"/>
        <v>350</v>
      </c>
      <c r="FV28" s="161">
        <f t="shared" si="33"/>
        <v>525</v>
      </c>
      <c r="FW28" s="161">
        <f t="shared" si="95"/>
        <v>875</v>
      </c>
      <c r="FX28" s="161">
        <v>24.000000000000007</v>
      </c>
      <c r="FY28" s="168">
        <f t="shared" si="96"/>
        <v>2.5</v>
      </c>
      <c r="FZ28" s="161">
        <v>350</v>
      </c>
      <c r="GA28" s="161">
        <v>525</v>
      </c>
      <c r="GB28" s="161">
        <v>875</v>
      </c>
      <c r="GC28" s="168">
        <f t="shared" si="246"/>
        <v>0.56785714285714284</v>
      </c>
      <c r="GD28" s="154">
        <f t="shared" si="97"/>
        <v>21</v>
      </c>
      <c r="GE28" s="181">
        <f t="shared" si="98"/>
        <v>13.584745762711865</v>
      </c>
      <c r="GF28" s="181">
        <f t="shared" si="34"/>
        <v>0</v>
      </c>
      <c r="GG28" s="154">
        <f t="shared" si="99"/>
        <v>-17.5</v>
      </c>
      <c r="GH28" s="181">
        <f t="shared" si="100"/>
        <v>-2.3773584905660368</v>
      </c>
      <c r="GI28" s="181">
        <f t="shared" si="101"/>
        <v>11.380503144654091</v>
      </c>
      <c r="GJ28" s="181">
        <f t="shared" si="102"/>
        <v>15</v>
      </c>
      <c r="GK28" s="181">
        <f t="shared" si="103"/>
        <v>0</v>
      </c>
      <c r="GL28" s="157">
        <f t="shared" si="104"/>
        <v>961.8</v>
      </c>
      <c r="GM28" s="157">
        <f t="shared" si="105"/>
        <v>2725.7999999999997</v>
      </c>
      <c r="GN28" s="157">
        <f t="shared" si="106"/>
        <v>230.19999999999982</v>
      </c>
      <c r="GO28" s="157">
        <f t="shared" si="107"/>
        <v>1533.8</v>
      </c>
      <c r="GP28" s="157">
        <f t="shared" si="108"/>
        <v>3395.7000000000003</v>
      </c>
      <c r="GQ28" s="157">
        <f t="shared" si="109"/>
        <v>696.59418896176908</v>
      </c>
      <c r="GR28" s="157">
        <f t="shared" si="110"/>
        <v>4929.5</v>
      </c>
      <c r="GS28" s="200">
        <f t="shared" si="111"/>
        <v>1</v>
      </c>
      <c r="GT28" s="157">
        <f t="shared" si="112"/>
        <v>696.59418896176908</v>
      </c>
      <c r="GU28" s="157">
        <f t="shared" si="113"/>
        <v>645.54794520547944</v>
      </c>
      <c r="GV28" s="162">
        <f t="shared" si="114"/>
        <v>5108.6537562437106</v>
      </c>
      <c r="GW28" s="157">
        <f t="shared" si="115"/>
        <v>875</v>
      </c>
      <c r="GX28" s="157">
        <f t="shared" si="247"/>
        <v>525</v>
      </c>
      <c r="GY28" s="207">
        <f t="shared" si="35"/>
        <v>350</v>
      </c>
      <c r="GZ28" s="207">
        <f t="shared" si="116"/>
        <v>350</v>
      </c>
      <c r="HA28" s="157">
        <f t="shared" si="117"/>
        <v>350</v>
      </c>
      <c r="HB28" s="157">
        <f t="shared" si="36"/>
        <v>525</v>
      </c>
      <c r="HC28" s="157">
        <f t="shared" si="37"/>
        <v>875</v>
      </c>
      <c r="HD28" s="168">
        <f t="shared" si="38"/>
        <v>8.4000000000000021</v>
      </c>
      <c r="HE28" s="168">
        <f t="shared" si="118"/>
        <v>12.600000000000005</v>
      </c>
      <c r="HF28" s="168">
        <f t="shared" si="39"/>
        <v>21.000000000000007</v>
      </c>
      <c r="HG28" s="157">
        <f t="shared" si="119"/>
        <v>4233.6537562437106</v>
      </c>
      <c r="HH28" s="168">
        <f t="shared" si="120"/>
        <v>5.5247999999999973</v>
      </c>
      <c r="HI28" s="168">
        <f t="shared" si="121"/>
        <v>16.718260535082461</v>
      </c>
      <c r="HJ28" s="168">
        <f t="shared" si="122"/>
        <v>122.60769014984909</v>
      </c>
      <c r="HK28" s="168">
        <f t="shared" si="123"/>
        <v>101.60769014984909</v>
      </c>
      <c r="HL28" s="168">
        <f t="shared" si="124"/>
        <v>162.40915068493157</v>
      </c>
      <c r="HM28" s="157">
        <f t="shared" si="125"/>
        <v>1105.2</v>
      </c>
      <c r="HN28" s="168">
        <f t="shared" si="126"/>
        <v>12.600000000000005</v>
      </c>
      <c r="HP28" s="168">
        <f t="shared" si="127"/>
        <v>65.419200000000004</v>
      </c>
      <c r="HQ28" s="168">
        <f t="shared" si="128"/>
        <v>42.336000000000006</v>
      </c>
      <c r="HR28" s="181"/>
      <c r="HU28" s="168">
        <f t="shared" si="248"/>
        <v>2.5</v>
      </c>
      <c r="HV28" s="161">
        <f t="shared" si="248"/>
        <v>350</v>
      </c>
      <c r="HW28" s="161">
        <f t="shared" si="40"/>
        <v>525</v>
      </c>
      <c r="HX28" s="161">
        <f t="shared" si="41"/>
        <v>875</v>
      </c>
      <c r="HY28" s="161">
        <v>24.000000000000007</v>
      </c>
      <c r="HZ28" s="168">
        <f t="shared" si="129"/>
        <v>2.5</v>
      </c>
      <c r="IA28" s="161">
        <v>0</v>
      </c>
      <c r="IB28" s="161">
        <v>0</v>
      </c>
      <c r="IC28" s="161">
        <v>0</v>
      </c>
      <c r="ID28" s="168">
        <f t="shared" si="249"/>
        <v>0.56785714285714284</v>
      </c>
      <c r="IE28" s="154">
        <f t="shared" si="130"/>
        <v>21</v>
      </c>
      <c r="IF28" s="154">
        <f t="shared" si="131"/>
        <v>-17.5</v>
      </c>
      <c r="IG28" s="181">
        <f t="shared" si="132"/>
        <v>0</v>
      </c>
      <c r="IH28" s="181">
        <f t="shared" si="133"/>
        <v>5.8773584905660385</v>
      </c>
      <c r="II28" s="181">
        <f t="shared" si="134"/>
        <v>0</v>
      </c>
      <c r="IJ28" s="181">
        <f t="shared" si="135"/>
        <v>5.8773584905660385</v>
      </c>
      <c r="IK28" s="181">
        <f t="shared" si="136"/>
        <v>15</v>
      </c>
      <c r="IL28" s="181">
        <f t="shared" si="250"/>
        <v>0</v>
      </c>
      <c r="IM28" s="181">
        <f t="shared" si="137"/>
        <v>0</v>
      </c>
      <c r="IN28" s="157">
        <f t="shared" si="138"/>
        <v>1486.8</v>
      </c>
      <c r="IO28" s="157">
        <f t="shared" si="139"/>
        <v>2725.7999999999997</v>
      </c>
      <c r="IP28" s="157">
        <f t="shared" si="42"/>
        <v>580.19999999999993</v>
      </c>
      <c r="IQ28" s="157">
        <f t="shared" si="43"/>
        <v>658.79999999999984</v>
      </c>
      <c r="IR28" s="157">
        <f t="shared" si="140"/>
        <v>3395.7000000000003</v>
      </c>
      <c r="IS28" s="157">
        <f t="shared" si="141"/>
        <v>696.59418896176908</v>
      </c>
      <c r="IT28" s="157">
        <f t="shared" si="142"/>
        <v>4054.5</v>
      </c>
      <c r="IU28" s="200">
        <f t="shared" si="143"/>
        <v>1</v>
      </c>
      <c r="IV28" s="157">
        <f t="shared" si="144"/>
        <v>696.59418896176908</v>
      </c>
      <c r="IW28" s="157">
        <f t="shared" si="145"/>
        <v>645.54794520547944</v>
      </c>
      <c r="IX28" s="162">
        <f t="shared" si="146"/>
        <v>4583.6537562437106</v>
      </c>
      <c r="IY28" s="157">
        <f t="shared" si="22"/>
        <v>875</v>
      </c>
      <c r="IZ28" s="157">
        <f t="shared" si="147"/>
        <v>0</v>
      </c>
      <c r="JA28" s="207">
        <f t="shared" si="148"/>
        <v>350</v>
      </c>
      <c r="JB28" s="207">
        <f t="shared" si="149"/>
        <v>0</v>
      </c>
      <c r="JC28" s="157">
        <f t="shared" si="150"/>
        <v>0</v>
      </c>
      <c r="JD28" s="157">
        <f t="shared" si="151"/>
        <v>0</v>
      </c>
      <c r="JE28" s="157">
        <f t="shared" si="152"/>
        <v>0</v>
      </c>
      <c r="JF28" s="168">
        <f t="shared" si="153"/>
        <v>0</v>
      </c>
      <c r="JG28" s="168">
        <f t="shared" si="154"/>
        <v>0</v>
      </c>
      <c r="JH28" s="168">
        <f t="shared" si="155"/>
        <v>0</v>
      </c>
      <c r="JI28" s="157">
        <f t="shared" si="156"/>
        <v>4583.6537562437106</v>
      </c>
      <c r="JJ28" s="168">
        <f t="shared" si="157"/>
        <v>13.924800000000003</v>
      </c>
      <c r="JK28" s="168">
        <f t="shared" si="158"/>
        <v>16.718260535082461</v>
      </c>
      <c r="JL28" s="168">
        <f t="shared" si="159"/>
        <v>110.00769014984908</v>
      </c>
      <c r="JM28" s="168">
        <f t="shared" si="160"/>
        <v>110.00769014984908</v>
      </c>
      <c r="JN28" s="168">
        <f t="shared" si="161"/>
        <v>162.40915068493157</v>
      </c>
      <c r="JO28" s="157">
        <f t="shared" si="162"/>
        <v>580.20000000000005</v>
      </c>
      <c r="JP28" s="168">
        <f t="shared" si="163"/>
        <v>0</v>
      </c>
      <c r="JR28" s="168">
        <f t="shared" si="164"/>
        <v>65.419200000000004</v>
      </c>
      <c r="JS28" s="168">
        <f t="shared" si="165"/>
        <v>29.736000000000004</v>
      </c>
      <c r="JT28" s="181"/>
      <c r="JW28" s="168">
        <f t="shared" ref="JW28:JX28" si="259">JW27</f>
        <v>2.5</v>
      </c>
      <c r="JX28" s="161">
        <f t="shared" si="259"/>
        <v>350</v>
      </c>
      <c r="JY28" s="161">
        <f t="shared" si="44"/>
        <v>525</v>
      </c>
      <c r="JZ28" s="161">
        <f t="shared" si="45"/>
        <v>875</v>
      </c>
      <c r="KA28" s="161">
        <v>24.000000000000007</v>
      </c>
      <c r="KB28" s="168">
        <f t="shared" si="166"/>
        <v>2.5</v>
      </c>
      <c r="KC28" s="161">
        <v>0</v>
      </c>
      <c r="KD28" s="161">
        <v>0</v>
      </c>
      <c r="KE28" s="161">
        <v>0</v>
      </c>
      <c r="KF28" s="168">
        <f t="shared" ref="KF28" si="260">KF27</f>
        <v>0.56785714285714284</v>
      </c>
      <c r="KG28" s="154">
        <f t="shared" si="167"/>
        <v>21</v>
      </c>
      <c r="KH28" s="154">
        <f t="shared" si="168"/>
        <v>-17.5</v>
      </c>
      <c r="KI28" s="181">
        <f t="shared" si="169"/>
        <v>0</v>
      </c>
      <c r="KJ28" s="181">
        <f t="shared" si="170"/>
        <v>5.8773584905660385</v>
      </c>
      <c r="KK28" s="181">
        <f t="shared" si="171"/>
        <v>0</v>
      </c>
      <c r="KL28" s="181">
        <f t="shared" si="172"/>
        <v>5.8773584905660385</v>
      </c>
      <c r="KM28" s="181">
        <f t="shared" si="173"/>
        <v>15</v>
      </c>
      <c r="KN28" s="181">
        <f t="shared" si="253"/>
        <v>0</v>
      </c>
      <c r="KO28" s="181">
        <f t="shared" si="174"/>
        <v>0</v>
      </c>
      <c r="KP28" s="157">
        <f t="shared" si="175"/>
        <v>1486.8</v>
      </c>
      <c r="KQ28" s="157">
        <f t="shared" si="46"/>
        <v>2725.7999999999997</v>
      </c>
      <c r="KR28" s="157">
        <f t="shared" si="176"/>
        <v>580.19999999999993</v>
      </c>
      <c r="KS28" s="157">
        <f t="shared" si="177"/>
        <v>658.79999999999984</v>
      </c>
      <c r="KT28" s="157">
        <f t="shared" si="178"/>
        <v>3395.7000000000003</v>
      </c>
      <c r="KU28" s="157">
        <f t="shared" si="179"/>
        <v>696.59418896176908</v>
      </c>
      <c r="KV28" s="157">
        <f t="shared" si="180"/>
        <v>4054.5</v>
      </c>
      <c r="KW28" s="200">
        <f t="shared" si="181"/>
        <v>1</v>
      </c>
      <c r="KX28" s="157">
        <f t="shared" si="182"/>
        <v>696.59418896176908</v>
      </c>
      <c r="KY28" s="157">
        <f t="shared" si="183"/>
        <v>645.54794520547944</v>
      </c>
      <c r="KZ28" s="162">
        <f t="shared" si="47"/>
        <v>4583.6537562437106</v>
      </c>
      <c r="LA28" s="157">
        <f t="shared" si="184"/>
        <v>875</v>
      </c>
      <c r="LB28" s="157">
        <f t="shared" si="185"/>
        <v>0</v>
      </c>
      <c r="LC28" s="207">
        <f t="shared" si="186"/>
        <v>350</v>
      </c>
      <c r="LD28" s="207">
        <f t="shared" si="187"/>
        <v>0</v>
      </c>
      <c r="LE28" s="157">
        <f t="shared" si="188"/>
        <v>0</v>
      </c>
      <c r="LF28" s="157">
        <f t="shared" si="189"/>
        <v>0</v>
      </c>
      <c r="LG28" s="157">
        <f t="shared" si="190"/>
        <v>0</v>
      </c>
      <c r="LH28" s="168">
        <f t="shared" si="191"/>
        <v>0</v>
      </c>
      <c r="LI28" s="168">
        <f t="shared" si="192"/>
        <v>0</v>
      </c>
      <c r="LJ28" s="168">
        <f t="shared" si="193"/>
        <v>0</v>
      </c>
      <c r="LK28" s="157">
        <f t="shared" si="194"/>
        <v>4583.6537562437106</v>
      </c>
      <c r="LL28" s="168">
        <f t="shared" si="195"/>
        <v>13.924800000000003</v>
      </c>
      <c r="LM28" s="168">
        <f t="shared" si="196"/>
        <v>16.718260535082461</v>
      </c>
      <c r="LN28" s="168">
        <f t="shared" si="197"/>
        <v>110.00769014984908</v>
      </c>
      <c r="LO28" s="168">
        <f t="shared" si="198"/>
        <v>110.00769014984908</v>
      </c>
      <c r="LP28" s="168">
        <f t="shared" si="199"/>
        <v>162.40915068493157</v>
      </c>
      <c r="LQ28" s="157">
        <f t="shared" si="200"/>
        <v>580.20000000000005</v>
      </c>
      <c r="LR28" s="168">
        <f t="shared" si="201"/>
        <v>0</v>
      </c>
      <c r="LT28" s="168">
        <f t="shared" si="202"/>
        <v>65.419200000000004</v>
      </c>
      <c r="LU28" s="168">
        <f t="shared" si="203"/>
        <v>29.736000000000004</v>
      </c>
      <c r="LV28" s="181"/>
      <c r="LY28" s="168">
        <f t="shared" si="254"/>
        <v>2.5</v>
      </c>
      <c r="LZ28" s="161">
        <f t="shared" si="254"/>
        <v>350</v>
      </c>
      <c r="MA28" s="161">
        <f t="shared" si="48"/>
        <v>525</v>
      </c>
      <c r="MB28" s="161">
        <f t="shared" si="49"/>
        <v>875</v>
      </c>
      <c r="MC28" s="161">
        <v>24.000000000000007</v>
      </c>
      <c r="MD28" s="168">
        <f t="shared" si="204"/>
        <v>2.5</v>
      </c>
      <c r="ME28" s="161">
        <v>350</v>
      </c>
      <c r="MF28" s="161">
        <v>525</v>
      </c>
      <c r="MG28" s="161">
        <v>875</v>
      </c>
      <c r="MH28" s="168">
        <f t="shared" si="255"/>
        <v>0.56785714285714284</v>
      </c>
      <c r="MI28" s="154">
        <f t="shared" si="205"/>
        <v>21</v>
      </c>
      <c r="MJ28" s="181">
        <f t="shared" si="206"/>
        <v>13.584745762711865</v>
      </c>
      <c r="MK28" s="181">
        <f t="shared" si="207"/>
        <v>0</v>
      </c>
      <c r="ML28" s="154">
        <f t="shared" si="208"/>
        <v>-17.5</v>
      </c>
      <c r="MM28" s="181">
        <f t="shared" si="209"/>
        <v>-2.3773584905660368</v>
      </c>
      <c r="MN28" s="181">
        <f t="shared" si="210"/>
        <v>-2.3773584905660368</v>
      </c>
      <c r="MO28" s="181">
        <f t="shared" si="211"/>
        <v>15</v>
      </c>
      <c r="MP28" s="181">
        <f t="shared" si="212"/>
        <v>0</v>
      </c>
      <c r="MQ28" s="157">
        <f t="shared" si="50"/>
        <v>961.8</v>
      </c>
      <c r="MR28" s="157">
        <f t="shared" si="213"/>
        <v>2725.7999999999997</v>
      </c>
      <c r="MS28" s="157">
        <f t="shared" si="214"/>
        <v>1105.2</v>
      </c>
      <c r="MT28" s="157">
        <f t="shared" si="215"/>
        <v>658.79999999999973</v>
      </c>
      <c r="MU28" s="157">
        <f t="shared" si="216"/>
        <v>3395.7000000000003</v>
      </c>
      <c r="MV28" s="157">
        <f t="shared" si="217"/>
        <v>696.59418896176908</v>
      </c>
      <c r="MW28" s="157">
        <f t="shared" si="218"/>
        <v>4054.5</v>
      </c>
      <c r="MX28" s="200">
        <f t="shared" si="219"/>
        <v>1</v>
      </c>
      <c r="MY28" s="157">
        <f t="shared" si="220"/>
        <v>696.59418896176908</v>
      </c>
      <c r="MZ28" s="157">
        <f t="shared" si="221"/>
        <v>645.54794520547944</v>
      </c>
      <c r="NA28" s="162">
        <f t="shared" si="222"/>
        <v>5108.6537562437106</v>
      </c>
      <c r="NB28" s="157">
        <f t="shared" si="223"/>
        <v>875</v>
      </c>
      <c r="NC28" s="157">
        <f t="shared" si="224"/>
        <v>525</v>
      </c>
      <c r="ND28" s="207">
        <f t="shared" si="51"/>
        <v>350</v>
      </c>
      <c r="NE28" s="207">
        <f t="shared" si="225"/>
        <v>350</v>
      </c>
      <c r="NF28" s="157">
        <f t="shared" si="226"/>
        <v>350</v>
      </c>
      <c r="NG28" s="157">
        <f t="shared" si="52"/>
        <v>525</v>
      </c>
      <c r="NH28" s="157">
        <f t="shared" si="53"/>
        <v>875</v>
      </c>
      <c r="NI28" s="168">
        <f t="shared" si="227"/>
        <v>8.4000000000000021</v>
      </c>
      <c r="NJ28" s="168">
        <f t="shared" si="228"/>
        <v>12.600000000000005</v>
      </c>
      <c r="NK28" s="168">
        <f t="shared" si="229"/>
        <v>21.000000000000007</v>
      </c>
      <c r="NL28" s="157">
        <f t="shared" si="230"/>
        <v>4233.6537562437106</v>
      </c>
      <c r="NM28" s="168">
        <f t="shared" si="231"/>
        <v>26.524800000000006</v>
      </c>
      <c r="NN28" s="168">
        <f t="shared" si="232"/>
        <v>16.718260535082461</v>
      </c>
      <c r="NO28" s="168">
        <f t="shared" si="233"/>
        <v>122.60769014984909</v>
      </c>
      <c r="NP28" s="168">
        <f t="shared" si="234"/>
        <v>101.60769014984909</v>
      </c>
      <c r="NQ28" s="168">
        <f t="shared" si="235"/>
        <v>162.40915068493157</v>
      </c>
      <c r="NR28" s="157">
        <f t="shared" si="236"/>
        <v>1105.2</v>
      </c>
      <c r="NS28" s="168">
        <f t="shared" si="237"/>
        <v>12.600000000000005</v>
      </c>
      <c r="NT28" s="157">
        <f t="shared" si="238"/>
        <v>6767.0479452054797</v>
      </c>
      <c r="NU28" s="168">
        <f t="shared" si="239"/>
        <v>65.419200000000004</v>
      </c>
      <c r="NV28" s="168">
        <f t="shared" si="240"/>
        <v>42.336000000000006</v>
      </c>
      <c r="NW28" s="181"/>
      <c r="NX28" s="157"/>
      <c r="NY28" s="157"/>
      <c r="NZ28" s="157"/>
      <c r="OA28" s="157"/>
      <c r="OB28" s="157"/>
    </row>
    <row r="29" spans="1:392" ht="13" x14ac:dyDescent="0.3">
      <c r="A29" s="154">
        <v>1.1986301369863013</v>
      </c>
      <c r="B29" s="154">
        <v>-16.5</v>
      </c>
      <c r="C29" s="154">
        <f t="shared" si="241"/>
        <v>-16.5</v>
      </c>
      <c r="D29" s="154">
        <v>1735</v>
      </c>
      <c r="E29" s="200">
        <f t="shared" si="242"/>
        <v>54.218750000000021</v>
      </c>
      <c r="F29" s="181">
        <f>$F$21*(J29-B29)</f>
        <v>3307.5</v>
      </c>
      <c r="G29" s="161">
        <f t="shared" si="258"/>
        <v>31.999999999999989</v>
      </c>
      <c r="H29" s="154">
        <f t="shared" si="55"/>
        <v>3.3075000000000001</v>
      </c>
      <c r="I29" s="161">
        <f t="shared" si="56"/>
        <v>1199.9999999999995</v>
      </c>
      <c r="J29" s="181">
        <f t="shared" si="57"/>
        <v>21</v>
      </c>
      <c r="K29" s="181">
        <f t="shared" si="58"/>
        <v>13.584745762711865</v>
      </c>
      <c r="L29" s="181">
        <f t="shared" si="59"/>
        <v>0</v>
      </c>
      <c r="M29" s="181">
        <f t="shared" si="60"/>
        <v>-16.5</v>
      </c>
      <c r="N29" s="181">
        <f t="shared" si="61"/>
        <v>-1.3773584905660368</v>
      </c>
      <c r="O29" s="181">
        <f t="shared" si="62"/>
        <v>-1.3773584905660368</v>
      </c>
      <c r="P29" s="181">
        <f t="shared" si="63"/>
        <v>15</v>
      </c>
      <c r="Q29" s="181">
        <f t="shared" si="64"/>
        <v>4.1257861635220143</v>
      </c>
      <c r="R29" s="168">
        <f t="shared" si="65"/>
        <v>27.999999999999989</v>
      </c>
      <c r="S29" s="161">
        <f t="shared" si="66"/>
        <v>183.02479371808954</v>
      </c>
      <c r="T29" s="161">
        <f t="shared" si="67"/>
        <v>87.400124924614474</v>
      </c>
      <c r="U29" s="161">
        <f t="shared" si="68"/>
        <v>73.429635278149391</v>
      </c>
      <c r="V29" s="154">
        <f t="shared" si="69"/>
        <v>1.0415999999999999</v>
      </c>
      <c r="W29" s="154">
        <f t="shared" si="70"/>
        <v>3.8827248036902997</v>
      </c>
      <c r="X29" s="154">
        <f t="shared" si="71"/>
        <v>5.7195248036902999</v>
      </c>
      <c r="Y29" s="154">
        <f t="shared" si="72"/>
        <v>6.6080479452054801</v>
      </c>
      <c r="Z29" s="154">
        <f t="shared" si="73"/>
        <v>2.6549999999999998</v>
      </c>
      <c r="AA29" s="154">
        <f t="shared" si="74"/>
        <v>0.88852314151517997</v>
      </c>
      <c r="AB29" s="154">
        <f t="shared" si="26"/>
        <v>4.7577248036902997</v>
      </c>
      <c r="AC29" s="154">
        <f t="shared" si="27"/>
        <v>0.64554794520547942</v>
      </c>
      <c r="AD29" s="154">
        <f t="shared" si="28"/>
        <v>0.35</v>
      </c>
      <c r="AE29" s="154">
        <f t="shared" si="29"/>
        <v>0.52500000000000002</v>
      </c>
      <c r="AF29" s="154">
        <f t="shared" si="30"/>
        <v>0.875</v>
      </c>
      <c r="AG29" s="154">
        <f t="shared" si="75"/>
        <v>0.96179999999999999</v>
      </c>
      <c r="AH29" s="154">
        <f t="shared" si="76"/>
        <v>1.8368</v>
      </c>
      <c r="AI29" s="154">
        <f t="shared" si="77"/>
        <v>0.58732876712328763</v>
      </c>
      <c r="AJ29" s="154">
        <f t="shared" si="78"/>
        <v>5.8219178082191785E-2</v>
      </c>
      <c r="AK29" s="154">
        <f t="shared" si="79"/>
        <v>0</v>
      </c>
      <c r="AL29" s="161">
        <f t="shared" si="80"/>
        <v>587.32876712328766</v>
      </c>
      <c r="AM29" s="161">
        <f t="shared" si="81"/>
        <v>58.219178082191782</v>
      </c>
      <c r="AN29" s="161">
        <f t="shared" si="82"/>
        <v>0</v>
      </c>
      <c r="AO29" s="161"/>
      <c r="AP29" s="154">
        <f t="shared" si="83"/>
        <v>0.64554794520547942</v>
      </c>
      <c r="AQ29" s="154">
        <f t="shared" si="84"/>
        <v>0.64554794520547942</v>
      </c>
      <c r="AR29" s="154">
        <f t="shared" si="85"/>
        <v>2.8784000000000001</v>
      </c>
      <c r="AS29" s="161"/>
      <c r="AT29" s="161"/>
      <c r="AU29" s="161"/>
      <c r="AV29" s="161"/>
      <c r="AW29" s="181"/>
      <c r="AX29" s="181"/>
      <c r="AY29" s="181"/>
      <c r="AZ29" s="181"/>
      <c r="BA29" s="181"/>
      <c r="BB29" s="161"/>
      <c r="BC29" s="161"/>
      <c r="BD29" s="161"/>
      <c r="BE29" s="181"/>
      <c r="BF29" s="168"/>
      <c r="BG29" s="181"/>
      <c r="BH29" s="168"/>
      <c r="BI29" s="168"/>
      <c r="BJ29" s="161"/>
      <c r="BK29" s="168"/>
      <c r="BL29" s="168"/>
      <c r="BM29" s="168"/>
      <c r="BN29" s="168"/>
      <c r="BO29" s="168">
        <f t="shared" si="86"/>
        <v>18.794520547945197</v>
      </c>
      <c r="BP29" s="168">
        <f t="shared" si="87"/>
        <v>1.8630136986301364</v>
      </c>
      <c r="BQ29" s="168">
        <f t="shared" si="88"/>
        <v>0</v>
      </c>
      <c r="BR29" s="181"/>
      <c r="BS29" s="161"/>
      <c r="BT29" s="168"/>
      <c r="BU29" s="161"/>
      <c r="BV29" s="161"/>
      <c r="BW29" s="161"/>
      <c r="BX29" s="161"/>
      <c r="CB29" s="181">
        <f t="shared" si="89"/>
        <v>49.718675037481269</v>
      </c>
      <c r="CC29" s="181">
        <f t="shared" si="32"/>
        <v>0</v>
      </c>
      <c r="CD29" s="181">
        <f t="shared" si="32"/>
        <v>58.11181069621442</v>
      </c>
      <c r="CE29" s="181">
        <f t="shared" si="32"/>
        <v>0</v>
      </c>
      <c r="CF29" s="181">
        <f t="shared" si="32"/>
        <v>193.30488193403303</v>
      </c>
      <c r="CG29" s="181">
        <f t="shared" si="32"/>
        <v>0</v>
      </c>
      <c r="CH29" s="181">
        <f t="shared" si="32"/>
        <v>58.187773847451304</v>
      </c>
      <c r="CI29" s="181">
        <f t="shared" si="32"/>
        <v>0</v>
      </c>
      <c r="CJ29" s="182">
        <f t="shared" si="90"/>
        <v>359.32314151518</v>
      </c>
      <c r="CK29" s="161">
        <f t="shared" si="91"/>
        <v>359.32314151518</v>
      </c>
      <c r="CL29" s="161">
        <f t="shared" si="243"/>
        <v>529.19999999999993</v>
      </c>
      <c r="CM29" s="182">
        <f t="shared" si="92"/>
        <v>888.52314151517999</v>
      </c>
      <c r="CN29" s="157">
        <f>CJ29*G29/1000</f>
        <v>11.498340528485757</v>
      </c>
      <c r="CO29" s="162">
        <f t="shared" si="94"/>
        <v>888.52314151517999</v>
      </c>
      <c r="FT29" s="168">
        <f t="shared" si="244"/>
        <v>2.5</v>
      </c>
      <c r="FU29" s="161">
        <f t="shared" si="245"/>
        <v>350</v>
      </c>
      <c r="FV29" s="161">
        <f t="shared" si="33"/>
        <v>525</v>
      </c>
      <c r="FW29" s="161">
        <f t="shared" si="95"/>
        <v>875</v>
      </c>
      <c r="FX29" s="161">
        <v>31.999999999999989</v>
      </c>
      <c r="FY29" s="168">
        <f t="shared" si="96"/>
        <v>2.5</v>
      </c>
      <c r="FZ29" s="161">
        <v>350</v>
      </c>
      <c r="GA29" s="161">
        <v>525</v>
      </c>
      <c r="GB29" s="161">
        <v>875</v>
      </c>
      <c r="GC29" s="168">
        <f t="shared" si="246"/>
        <v>0.56785714285714284</v>
      </c>
      <c r="GD29" s="154">
        <f t="shared" si="97"/>
        <v>21</v>
      </c>
      <c r="GE29" s="181">
        <f t="shared" si="98"/>
        <v>13.584745762711865</v>
      </c>
      <c r="GF29" s="181">
        <f t="shared" si="34"/>
        <v>0</v>
      </c>
      <c r="GG29" s="154">
        <f t="shared" si="99"/>
        <v>-16.5</v>
      </c>
      <c r="GH29" s="181">
        <f t="shared" si="100"/>
        <v>-1.3773584905660368</v>
      </c>
      <c r="GI29" s="181">
        <f t="shared" si="101"/>
        <v>12.380503144654091</v>
      </c>
      <c r="GJ29" s="181">
        <f t="shared" si="102"/>
        <v>15</v>
      </c>
      <c r="GK29" s="181">
        <f t="shared" si="103"/>
        <v>0</v>
      </c>
      <c r="GL29" s="157">
        <f t="shared" si="104"/>
        <v>961.8</v>
      </c>
      <c r="GM29" s="157">
        <f t="shared" si="105"/>
        <v>2655</v>
      </c>
      <c r="GN29" s="157">
        <f t="shared" si="106"/>
        <v>166.59999999999982</v>
      </c>
      <c r="GO29" s="157">
        <f t="shared" si="107"/>
        <v>1526.6000000000001</v>
      </c>
      <c r="GP29" s="157">
        <f t="shared" si="108"/>
        <v>3307.5</v>
      </c>
      <c r="GQ29" s="157">
        <f t="shared" si="109"/>
        <v>888.52314151517999</v>
      </c>
      <c r="GR29" s="157">
        <f t="shared" si="110"/>
        <v>4834.1000000000004</v>
      </c>
      <c r="GS29" s="200">
        <f t="shared" si="111"/>
        <v>1</v>
      </c>
      <c r="GT29" s="157">
        <f t="shared" si="112"/>
        <v>888.52314151517999</v>
      </c>
      <c r="GU29" s="157">
        <f t="shared" si="113"/>
        <v>645.54794520547944</v>
      </c>
      <c r="GV29" s="162">
        <f t="shared" si="114"/>
        <v>4757.7248036902993</v>
      </c>
      <c r="GW29" s="157">
        <f t="shared" si="115"/>
        <v>875</v>
      </c>
      <c r="GX29" s="157">
        <f t="shared" si="247"/>
        <v>525</v>
      </c>
      <c r="GY29" s="207">
        <f t="shared" si="35"/>
        <v>350</v>
      </c>
      <c r="GZ29" s="207">
        <f t="shared" si="116"/>
        <v>350</v>
      </c>
      <c r="HA29" s="157">
        <f t="shared" si="117"/>
        <v>350</v>
      </c>
      <c r="HB29" s="157">
        <f t="shared" si="36"/>
        <v>525</v>
      </c>
      <c r="HC29" s="157">
        <f t="shared" si="37"/>
        <v>875</v>
      </c>
      <c r="HD29" s="168">
        <f t="shared" si="38"/>
        <v>11.199999999999996</v>
      </c>
      <c r="HE29" s="168">
        <f t="shared" si="118"/>
        <v>16.799999999999994</v>
      </c>
      <c r="HF29" s="168">
        <f t="shared" si="39"/>
        <v>27.999999999999989</v>
      </c>
      <c r="HG29" s="157">
        <f t="shared" si="119"/>
        <v>3882.7248036902993</v>
      </c>
      <c r="HH29" s="168">
        <f t="shared" si="120"/>
        <v>5.3311999999999928</v>
      </c>
      <c r="HI29" s="168">
        <f t="shared" si="121"/>
        <v>28.432740528485748</v>
      </c>
      <c r="HJ29" s="168">
        <f t="shared" si="122"/>
        <v>152.24719371808953</v>
      </c>
      <c r="HK29" s="168">
        <f t="shared" si="123"/>
        <v>124.24719371808953</v>
      </c>
      <c r="HL29" s="168">
        <f t="shared" si="124"/>
        <v>211.45753424657528</v>
      </c>
      <c r="HM29" s="157">
        <f t="shared" si="125"/>
        <v>1041.5999999999999</v>
      </c>
      <c r="HN29" s="168">
        <f t="shared" si="126"/>
        <v>16.799999999999994</v>
      </c>
      <c r="HP29" s="168">
        <f t="shared" si="127"/>
        <v>84.959999999999965</v>
      </c>
      <c r="HQ29" s="168">
        <f t="shared" si="128"/>
        <v>54.18239999999998</v>
      </c>
      <c r="HR29" s="181"/>
      <c r="HU29" s="168">
        <f t="shared" si="248"/>
        <v>2.5</v>
      </c>
      <c r="HV29" s="161">
        <f t="shared" si="248"/>
        <v>350</v>
      </c>
      <c r="HW29" s="161">
        <f t="shared" si="40"/>
        <v>525</v>
      </c>
      <c r="HX29" s="161">
        <f t="shared" si="41"/>
        <v>875</v>
      </c>
      <c r="HY29" s="161">
        <v>31.999999999999989</v>
      </c>
      <c r="HZ29" s="168">
        <f t="shared" si="129"/>
        <v>2.5</v>
      </c>
      <c r="IA29" s="161">
        <v>0</v>
      </c>
      <c r="IB29" s="161">
        <v>0</v>
      </c>
      <c r="IC29" s="161">
        <v>0</v>
      </c>
      <c r="ID29" s="168">
        <f t="shared" si="249"/>
        <v>0.56785714285714284</v>
      </c>
      <c r="IE29" s="154">
        <f t="shared" si="130"/>
        <v>21</v>
      </c>
      <c r="IF29" s="154">
        <f t="shared" si="131"/>
        <v>-16.5</v>
      </c>
      <c r="IG29" s="181">
        <f t="shared" si="132"/>
        <v>0</v>
      </c>
      <c r="IH29" s="181">
        <f t="shared" si="133"/>
        <v>6.8773584905660385</v>
      </c>
      <c r="II29" s="181">
        <f t="shared" si="134"/>
        <v>0</v>
      </c>
      <c r="IJ29" s="181">
        <f t="shared" si="135"/>
        <v>6.8773584905660385</v>
      </c>
      <c r="IK29" s="181">
        <f t="shared" si="136"/>
        <v>15</v>
      </c>
      <c r="IL29" s="181">
        <f t="shared" si="250"/>
        <v>0</v>
      </c>
      <c r="IM29" s="181">
        <f t="shared" si="137"/>
        <v>0</v>
      </c>
      <c r="IN29" s="157">
        <f t="shared" si="138"/>
        <v>1486.8</v>
      </c>
      <c r="IO29" s="157">
        <f t="shared" si="139"/>
        <v>2655</v>
      </c>
      <c r="IP29" s="157">
        <f t="shared" si="42"/>
        <v>516.59999999999991</v>
      </c>
      <c r="IQ29" s="157">
        <f t="shared" si="43"/>
        <v>651.60000000000014</v>
      </c>
      <c r="IR29" s="157">
        <f t="shared" si="140"/>
        <v>3307.5</v>
      </c>
      <c r="IS29" s="157">
        <f t="shared" si="141"/>
        <v>888.52314151517999</v>
      </c>
      <c r="IT29" s="157">
        <f t="shared" si="142"/>
        <v>3959.1000000000004</v>
      </c>
      <c r="IU29" s="200">
        <f t="shared" si="143"/>
        <v>1</v>
      </c>
      <c r="IV29" s="157">
        <f t="shared" si="144"/>
        <v>888.52314151517999</v>
      </c>
      <c r="IW29" s="157">
        <f t="shared" si="145"/>
        <v>645.54794520547944</v>
      </c>
      <c r="IX29" s="162">
        <f t="shared" si="146"/>
        <v>4232.7248036902993</v>
      </c>
      <c r="IY29" s="157">
        <f t="shared" si="22"/>
        <v>875</v>
      </c>
      <c r="IZ29" s="157">
        <f t="shared" si="147"/>
        <v>0</v>
      </c>
      <c r="JA29" s="207">
        <f t="shared" si="148"/>
        <v>350</v>
      </c>
      <c r="JB29" s="207">
        <f t="shared" si="149"/>
        <v>0</v>
      </c>
      <c r="JC29" s="157">
        <f t="shared" si="150"/>
        <v>0</v>
      </c>
      <c r="JD29" s="157">
        <f t="shared" si="151"/>
        <v>0</v>
      </c>
      <c r="JE29" s="157">
        <f t="shared" si="152"/>
        <v>0</v>
      </c>
      <c r="JF29" s="168">
        <f t="shared" si="153"/>
        <v>0</v>
      </c>
      <c r="JG29" s="168">
        <f t="shared" si="154"/>
        <v>0</v>
      </c>
      <c r="JH29" s="168">
        <f t="shared" si="155"/>
        <v>0</v>
      </c>
      <c r="JI29" s="157">
        <f t="shared" si="156"/>
        <v>4232.7248036902993</v>
      </c>
      <c r="JJ29" s="168">
        <f t="shared" si="157"/>
        <v>16.531199999999991</v>
      </c>
      <c r="JK29" s="168">
        <f t="shared" si="158"/>
        <v>28.432740528485748</v>
      </c>
      <c r="JL29" s="168">
        <f t="shared" si="159"/>
        <v>135.44719371808952</v>
      </c>
      <c r="JM29" s="168">
        <f t="shared" si="160"/>
        <v>135.44719371808952</v>
      </c>
      <c r="JN29" s="168">
        <f t="shared" si="161"/>
        <v>211.45753424657528</v>
      </c>
      <c r="JO29" s="157">
        <f t="shared" si="162"/>
        <v>516.59999999999991</v>
      </c>
      <c r="JP29" s="168">
        <f t="shared" si="163"/>
        <v>0</v>
      </c>
      <c r="JR29" s="168">
        <f t="shared" si="164"/>
        <v>84.959999999999965</v>
      </c>
      <c r="JS29" s="168">
        <f t="shared" si="165"/>
        <v>37.38239999999999</v>
      </c>
      <c r="JT29" s="181"/>
      <c r="JW29" s="168">
        <f t="shared" ref="JW29:JX29" si="261">JW28</f>
        <v>2.5</v>
      </c>
      <c r="JX29" s="161">
        <f t="shared" si="261"/>
        <v>350</v>
      </c>
      <c r="JY29" s="161">
        <f t="shared" si="44"/>
        <v>525</v>
      </c>
      <c r="JZ29" s="161">
        <f t="shared" si="45"/>
        <v>875</v>
      </c>
      <c r="KA29" s="161">
        <v>31.999999999999989</v>
      </c>
      <c r="KB29" s="168">
        <f t="shared" si="166"/>
        <v>2.5</v>
      </c>
      <c r="KC29" s="161">
        <v>0</v>
      </c>
      <c r="KD29" s="161">
        <v>0</v>
      </c>
      <c r="KE29" s="161">
        <v>0</v>
      </c>
      <c r="KF29" s="168">
        <f t="shared" ref="KF29" si="262">KF28</f>
        <v>0.56785714285714284</v>
      </c>
      <c r="KG29" s="154">
        <f t="shared" si="167"/>
        <v>21</v>
      </c>
      <c r="KH29" s="154">
        <f t="shared" si="168"/>
        <v>-16.5</v>
      </c>
      <c r="KI29" s="181">
        <f t="shared" si="169"/>
        <v>0</v>
      </c>
      <c r="KJ29" s="181">
        <f t="shared" si="170"/>
        <v>6.8773584905660385</v>
      </c>
      <c r="KK29" s="181">
        <f t="shared" si="171"/>
        <v>0</v>
      </c>
      <c r="KL29" s="181">
        <f t="shared" si="172"/>
        <v>6.8773584905660385</v>
      </c>
      <c r="KM29" s="181">
        <f t="shared" si="173"/>
        <v>15</v>
      </c>
      <c r="KN29" s="181">
        <f t="shared" si="253"/>
        <v>0</v>
      </c>
      <c r="KO29" s="181">
        <f t="shared" si="174"/>
        <v>0</v>
      </c>
      <c r="KP29" s="157">
        <f t="shared" si="175"/>
        <v>1486.8</v>
      </c>
      <c r="KQ29" s="157">
        <f t="shared" si="46"/>
        <v>2655</v>
      </c>
      <c r="KR29" s="157">
        <f t="shared" si="176"/>
        <v>516.59999999999991</v>
      </c>
      <c r="KS29" s="157">
        <f t="shared" si="177"/>
        <v>651.60000000000014</v>
      </c>
      <c r="KT29" s="157">
        <f t="shared" si="178"/>
        <v>3307.5</v>
      </c>
      <c r="KU29" s="157">
        <f t="shared" si="179"/>
        <v>888.52314151517999</v>
      </c>
      <c r="KV29" s="157">
        <f t="shared" si="180"/>
        <v>3959.1000000000004</v>
      </c>
      <c r="KW29" s="200">
        <f t="shared" si="181"/>
        <v>1</v>
      </c>
      <c r="KX29" s="157">
        <f t="shared" si="182"/>
        <v>888.52314151517999</v>
      </c>
      <c r="KY29" s="157">
        <f t="shared" si="183"/>
        <v>645.54794520547944</v>
      </c>
      <c r="KZ29" s="162">
        <f t="shared" si="47"/>
        <v>4232.7248036902993</v>
      </c>
      <c r="LA29" s="157">
        <f t="shared" si="184"/>
        <v>875</v>
      </c>
      <c r="LB29" s="157">
        <f t="shared" si="185"/>
        <v>0</v>
      </c>
      <c r="LC29" s="207">
        <f t="shared" si="186"/>
        <v>350</v>
      </c>
      <c r="LD29" s="207">
        <f t="shared" si="187"/>
        <v>0</v>
      </c>
      <c r="LE29" s="157">
        <f t="shared" si="188"/>
        <v>0</v>
      </c>
      <c r="LF29" s="157">
        <f t="shared" si="189"/>
        <v>0</v>
      </c>
      <c r="LG29" s="157">
        <f t="shared" si="190"/>
        <v>0</v>
      </c>
      <c r="LH29" s="168">
        <f t="shared" si="191"/>
        <v>0</v>
      </c>
      <c r="LI29" s="168">
        <f t="shared" si="192"/>
        <v>0</v>
      </c>
      <c r="LJ29" s="168">
        <f t="shared" si="193"/>
        <v>0</v>
      </c>
      <c r="LK29" s="157">
        <f t="shared" si="194"/>
        <v>4232.7248036902993</v>
      </c>
      <c r="LL29" s="168">
        <f t="shared" si="195"/>
        <v>16.531199999999991</v>
      </c>
      <c r="LM29" s="168">
        <f t="shared" si="196"/>
        <v>28.432740528485748</v>
      </c>
      <c r="LN29" s="168">
        <f t="shared" si="197"/>
        <v>135.44719371808952</v>
      </c>
      <c r="LO29" s="168">
        <f t="shared" si="198"/>
        <v>135.44719371808952</v>
      </c>
      <c r="LP29" s="168">
        <f t="shared" si="199"/>
        <v>211.45753424657528</v>
      </c>
      <c r="LQ29" s="157">
        <f t="shared" si="200"/>
        <v>516.59999999999991</v>
      </c>
      <c r="LR29" s="168">
        <f t="shared" si="201"/>
        <v>0</v>
      </c>
      <c r="LT29" s="168">
        <f t="shared" si="202"/>
        <v>84.959999999999965</v>
      </c>
      <c r="LU29" s="168">
        <f t="shared" si="203"/>
        <v>37.38239999999999</v>
      </c>
      <c r="LV29" s="181"/>
      <c r="LY29" s="168">
        <f t="shared" si="254"/>
        <v>2.5</v>
      </c>
      <c r="LZ29" s="161">
        <f t="shared" si="254"/>
        <v>350</v>
      </c>
      <c r="MA29" s="161">
        <f t="shared" si="48"/>
        <v>525</v>
      </c>
      <c r="MB29" s="161">
        <f t="shared" si="49"/>
        <v>875</v>
      </c>
      <c r="MC29" s="161">
        <v>31.999999999999989</v>
      </c>
      <c r="MD29" s="168">
        <f t="shared" si="204"/>
        <v>2.5</v>
      </c>
      <c r="ME29" s="161">
        <v>350</v>
      </c>
      <c r="MF29" s="161">
        <v>525</v>
      </c>
      <c r="MG29" s="161">
        <v>875</v>
      </c>
      <c r="MH29" s="168">
        <f t="shared" si="255"/>
        <v>0.56785714285714284</v>
      </c>
      <c r="MI29" s="154">
        <f t="shared" si="205"/>
        <v>21</v>
      </c>
      <c r="MJ29" s="181">
        <f t="shared" si="206"/>
        <v>13.584745762711865</v>
      </c>
      <c r="MK29" s="181">
        <f t="shared" si="207"/>
        <v>0</v>
      </c>
      <c r="ML29" s="154">
        <f t="shared" si="208"/>
        <v>-16.5</v>
      </c>
      <c r="MM29" s="181">
        <f t="shared" si="209"/>
        <v>-1.3773584905660368</v>
      </c>
      <c r="MN29" s="181">
        <f t="shared" si="210"/>
        <v>-1.3773584905660368</v>
      </c>
      <c r="MO29" s="181">
        <f t="shared" si="211"/>
        <v>15</v>
      </c>
      <c r="MP29" s="181">
        <f t="shared" si="212"/>
        <v>0</v>
      </c>
      <c r="MQ29" s="157">
        <f t="shared" si="50"/>
        <v>961.8</v>
      </c>
      <c r="MR29" s="157">
        <f t="shared" si="213"/>
        <v>2655</v>
      </c>
      <c r="MS29" s="157">
        <f t="shared" si="214"/>
        <v>1041.5999999999999</v>
      </c>
      <c r="MT29" s="157">
        <f t="shared" si="215"/>
        <v>651.60000000000014</v>
      </c>
      <c r="MU29" s="157">
        <f t="shared" si="216"/>
        <v>3307.5</v>
      </c>
      <c r="MV29" s="157">
        <f t="shared" si="217"/>
        <v>888.52314151517999</v>
      </c>
      <c r="MW29" s="157">
        <f t="shared" si="218"/>
        <v>3959.1000000000004</v>
      </c>
      <c r="MX29" s="200">
        <f t="shared" si="219"/>
        <v>1</v>
      </c>
      <c r="MY29" s="157">
        <f t="shared" si="220"/>
        <v>888.52314151517999</v>
      </c>
      <c r="MZ29" s="157">
        <f t="shared" si="221"/>
        <v>645.54794520547944</v>
      </c>
      <c r="NA29" s="162">
        <f t="shared" si="222"/>
        <v>4757.7248036902993</v>
      </c>
      <c r="NB29" s="157">
        <f t="shared" si="223"/>
        <v>875</v>
      </c>
      <c r="NC29" s="157">
        <f t="shared" si="224"/>
        <v>525</v>
      </c>
      <c r="ND29" s="207">
        <f t="shared" si="51"/>
        <v>350</v>
      </c>
      <c r="NE29" s="207">
        <f t="shared" si="225"/>
        <v>350</v>
      </c>
      <c r="NF29" s="157">
        <f t="shared" si="226"/>
        <v>350</v>
      </c>
      <c r="NG29" s="157">
        <f t="shared" si="52"/>
        <v>525</v>
      </c>
      <c r="NH29" s="157">
        <f t="shared" si="53"/>
        <v>875</v>
      </c>
      <c r="NI29" s="168">
        <f t="shared" si="227"/>
        <v>11.199999999999996</v>
      </c>
      <c r="NJ29" s="168">
        <f t="shared" si="228"/>
        <v>16.799999999999994</v>
      </c>
      <c r="NK29" s="168">
        <f t="shared" si="229"/>
        <v>27.999999999999989</v>
      </c>
      <c r="NL29" s="157">
        <f t="shared" si="230"/>
        <v>3882.7248036902993</v>
      </c>
      <c r="NM29" s="168">
        <f t="shared" si="231"/>
        <v>33.331199999999981</v>
      </c>
      <c r="NN29" s="168">
        <f t="shared" si="232"/>
        <v>28.432740528485748</v>
      </c>
      <c r="NO29" s="168">
        <f t="shared" si="233"/>
        <v>152.24719371808953</v>
      </c>
      <c r="NP29" s="168">
        <f t="shared" si="234"/>
        <v>124.24719371808953</v>
      </c>
      <c r="NQ29" s="168">
        <f t="shared" si="235"/>
        <v>211.45753424657528</v>
      </c>
      <c r="NR29" s="157">
        <f t="shared" si="236"/>
        <v>1041.5999999999999</v>
      </c>
      <c r="NS29" s="168">
        <f t="shared" si="237"/>
        <v>16.799999999999994</v>
      </c>
      <c r="NT29" s="157">
        <f t="shared" si="238"/>
        <v>6608.0479452054797</v>
      </c>
      <c r="NU29" s="168">
        <f t="shared" si="239"/>
        <v>84.959999999999965</v>
      </c>
      <c r="NV29" s="168">
        <f t="shared" si="240"/>
        <v>54.18239999999998</v>
      </c>
      <c r="NW29" s="181"/>
      <c r="NX29" s="157"/>
      <c r="NY29" s="157"/>
      <c r="NZ29" s="157"/>
      <c r="OA29" s="157"/>
      <c r="OB29" s="157"/>
    </row>
    <row r="30" spans="1:392" ht="13" x14ac:dyDescent="0.3">
      <c r="A30" s="154">
        <v>1.872146118721461</v>
      </c>
      <c r="B30" s="154">
        <v>-15.5</v>
      </c>
      <c r="C30" s="154">
        <f t="shared" si="241"/>
        <v>-15.5</v>
      </c>
      <c r="D30" s="154">
        <v>2486.7000000000003</v>
      </c>
      <c r="E30" s="200">
        <f t="shared" si="242"/>
        <v>42.147457627118655</v>
      </c>
      <c r="F30" s="181">
        <f t="shared" si="54"/>
        <v>3219.3</v>
      </c>
      <c r="G30" s="161">
        <f t="shared" si="258"/>
        <v>58.999999999999993</v>
      </c>
      <c r="H30" s="154">
        <f t="shared" si="55"/>
        <v>3.2193000000000001</v>
      </c>
      <c r="I30" s="161">
        <f t="shared" si="56"/>
        <v>2153.4999999999995</v>
      </c>
      <c r="J30" s="181">
        <f t="shared" si="57"/>
        <v>21</v>
      </c>
      <c r="K30" s="181">
        <f t="shared" si="58"/>
        <v>13.584745762711865</v>
      </c>
      <c r="L30" s="181">
        <f t="shared" si="59"/>
        <v>0</v>
      </c>
      <c r="M30" s="181">
        <f t="shared" si="60"/>
        <v>-15.5</v>
      </c>
      <c r="N30" s="181">
        <f t="shared" si="61"/>
        <v>-0.37735849056603676</v>
      </c>
      <c r="O30" s="181">
        <f t="shared" si="62"/>
        <v>-0.37735849056603676</v>
      </c>
      <c r="P30" s="181">
        <f t="shared" si="63"/>
        <v>15</v>
      </c>
      <c r="Q30" s="181">
        <f t="shared" si="64"/>
        <v>5.1257861635220143</v>
      </c>
      <c r="R30" s="168">
        <f t="shared" si="65"/>
        <v>51.624999999999993</v>
      </c>
      <c r="S30" s="161">
        <f t="shared" si="66"/>
        <v>332.79095764770796</v>
      </c>
      <c r="T30" s="161">
        <f t="shared" si="67"/>
        <v>85.900124924614474</v>
      </c>
      <c r="U30" s="161">
        <f t="shared" si="68"/>
        <v>73.187495375681692</v>
      </c>
      <c r="V30" s="154">
        <f t="shared" si="69"/>
        <v>0.97799999999999987</v>
      </c>
      <c r="W30" s="154">
        <f t="shared" si="70"/>
        <v>3.8037247058933552</v>
      </c>
      <c r="X30" s="154">
        <f t="shared" si="71"/>
        <v>5.6405247058933554</v>
      </c>
      <c r="Y30" s="154">
        <f t="shared" si="72"/>
        <v>6.4490479452054794</v>
      </c>
      <c r="Z30" s="154">
        <f t="shared" si="73"/>
        <v>2.5841999999999996</v>
      </c>
      <c r="AA30" s="154">
        <f t="shared" si="74"/>
        <v>0.80852323931212366</v>
      </c>
      <c r="AB30" s="154">
        <f t="shared" si="26"/>
        <v>4.6787247058933561</v>
      </c>
      <c r="AC30" s="154">
        <f t="shared" si="27"/>
        <v>0.64554794520547942</v>
      </c>
      <c r="AD30" s="154">
        <f t="shared" si="28"/>
        <v>0.35</v>
      </c>
      <c r="AE30" s="154">
        <f t="shared" si="29"/>
        <v>0.52500000000000002</v>
      </c>
      <c r="AF30" s="154">
        <f t="shared" si="30"/>
        <v>0.875</v>
      </c>
      <c r="AG30" s="154">
        <f t="shared" si="75"/>
        <v>0.96179999999999999</v>
      </c>
      <c r="AH30" s="154">
        <f t="shared" si="76"/>
        <v>1.8368</v>
      </c>
      <c r="AI30" s="154">
        <f t="shared" si="77"/>
        <v>0.58732876712328763</v>
      </c>
      <c r="AJ30" s="154">
        <f t="shared" si="78"/>
        <v>5.8219178082191785E-2</v>
      </c>
      <c r="AK30" s="154">
        <f t="shared" si="79"/>
        <v>0</v>
      </c>
      <c r="AL30" s="161">
        <f t="shared" si="80"/>
        <v>587.32876712328766</v>
      </c>
      <c r="AM30" s="161">
        <f t="shared" si="81"/>
        <v>58.219178082191782</v>
      </c>
      <c r="AN30" s="161">
        <f t="shared" si="82"/>
        <v>0</v>
      </c>
      <c r="AO30" s="161"/>
      <c r="AP30" s="154">
        <f t="shared" si="83"/>
        <v>0.64554794520547942</v>
      </c>
      <c r="AQ30" s="154">
        <f t="shared" si="84"/>
        <v>0.64554794520547942</v>
      </c>
      <c r="AR30" s="154">
        <f t="shared" si="85"/>
        <v>2.8148</v>
      </c>
      <c r="AS30" s="161"/>
      <c r="AT30" s="161"/>
      <c r="AU30" s="161"/>
      <c r="AV30" s="161"/>
      <c r="AW30" s="181"/>
      <c r="AX30" s="181"/>
      <c r="AY30" s="181"/>
      <c r="AZ30" s="181"/>
      <c r="BA30" s="181"/>
      <c r="BB30" s="161"/>
      <c r="BC30" s="161"/>
      <c r="BD30" s="161"/>
      <c r="BE30" s="181"/>
      <c r="BF30" s="168"/>
      <c r="BG30" s="181"/>
      <c r="BH30" s="168"/>
      <c r="BI30" s="168"/>
      <c r="BJ30" s="161"/>
      <c r="BK30" s="168"/>
      <c r="BL30" s="168"/>
      <c r="BM30" s="168"/>
      <c r="BN30" s="168"/>
      <c r="BO30" s="168">
        <f t="shared" si="86"/>
        <v>34.652397260273965</v>
      </c>
      <c r="BP30" s="168">
        <f t="shared" si="87"/>
        <v>3.4349315068493147</v>
      </c>
      <c r="BQ30" s="168">
        <f t="shared" si="88"/>
        <v>0</v>
      </c>
      <c r="BR30" s="181"/>
      <c r="BS30" s="161"/>
      <c r="BT30" s="168"/>
      <c r="BU30" s="161"/>
      <c r="BV30" s="161"/>
      <c r="BW30" s="161"/>
      <c r="BX30" s="161"/>
      <c r="CB30" s="181">
        <f t="shared" si="89"/>
        <v>38.649281833659444</v>
      </c>
      <c r="CC30" s="181">
        <f t="shared" si="32"/>
        <v>0</v>
      </c>
      <c r="CD30" s="181">
        <f t="shared" si="32"/>
        <v>45.173765144969892</v>
      </c>
      <c r="CE30" s="181">
        <f t="shared" si="32"/>
        <v>0</v>
      </c>
      <c r="CF30" s="181">
        <f t="shared" si="32"/>
        <v>150.2673765151323</v>
      </c>
      <c r="CG30" s="181">
        <f t="shared" si="32"/>
        <v>0</v>
      </c>
      <c r="CH30" s="181">
        <f t="shared" si="32"/>
        <v>45.23281581836202</v>
      </c>
      <c r="CI30" s="181">
        <f t="shared" si="32"/>
        <v>0</v>
      </c>
      <c r="CJ30" s="182">
        <f t="shared" si="90"/>
        <v>279.32323931212369</v>
      </c>
      <c r="CK30" s="161">
        <f t="shared" si="91"/>
        <v>279.32323931212369</v>
      </c>
      <c r="CL30" s="161">
        <f t="shared" si="243"/>
        <v>529.19999999999993</v>
      </c>
      <c r="CM30" s="182">
        <f t="shared" si="92"/>
        <v>808.52323931212368</v>
      </c>
      <c r="CN30" s="157">
        <f t="shared" si="93"/>
        <v>16.480071119415296</v>
      </c>
      <c r="CO30" s="162">
        <f t="shared" si="94"/>
        <v>808.52323931212368</v>
      </c>
      <c r="FT30" s="168">
        <f t="shared" si="244"/>
        <v>2.5</v>
      </c>
      <c r="FU30" s="161">
        <f t="shared" si="245"/>
        <v>350</v>
      </c>
      <c r="FV30" s="161">
        <f t="shared" si="33"/>
        <v>525</v>
      </c>
      <c r="FW30" s="161">
        <f t="shared" si="95"/>
        <v>875</v>
      </c>
      <c r="FX30" s="161">
        <v>58.999999999999993</v>
      </c>
      <c r="FY30" s="168">
        <f t="shared" si="96"/>
        <v>2.5</v>
      </c>
      <c r="FZ30" s="161">
        <v>350</v>
      </c>
      <c r="GA30" s="161">
        <v>525</v>
      </c>
      <c r="GB30" s="161">
        <v>875</v>
      </c>
      <c r="GC30" s="168">
        <f t="shared" si="246"/>
        <v>0.56785714285714284</v>
      </c>
      <c r="GD30" s="154">
        <f t="shared" si="97"/>
        <v>21</v>
      </c>
      <c r="GE30" s="181">
        <f t="shared" si="98"/>
        <v>13.584745762711865</v>
      </c>
      <c r="GF30" s="181">
        <f t="shared" si="34"/>
        <v>0</v>
      </c>
      <c r="GG30" s="154">
        <f t="shared" si="99"/>
        <v>-15.5</v>
      </c>
      <c r="GH30" s="181">
        <f t="shared" si="100"/>
        <v>-0.37735849056603676</v>
      </c>
      <c r="GI30" s="181">
        <f t="shared" si="101"/>
        <v>13.380503144654091</v>
      </c>
      <c r="GJ30" s="181">
        <f t="shared" si="102"/>
        <v>15</v>
      </c>
      <c r="GK30" s="181">
        <f t="shared" si="103"/>
        <v>0</v>
      </c>
      <c r="GL30" s="157">
        <f t="shared" si="104"/>
        <v>961.8</v>
      </c>
      <c r="GM30" s="157">
        <f t="shared" si="105"/>
        <v>2584.1999999999998</v>
      </c>
      <c r="GN30" s="157">
        <f t="shared" si="106"/>
        <v>102.99999999999983</v>
      </c>
      <c r="GO30" s="157">
        <f t="shared" si="107"/>
        <v>1519.4</v>
      </c>
      <c r="GP30" s="157">
        <f t="shared" si="108"/>
        <v>3219.3</v>
      </c>
      <c r="GQ30" s="157">
        <f t="shared" si="109"/>
        <v>808.52323931212368</v>
      </c>
      <c r="GR30" s="157">
        <f t="shared" si="110"/>
        <v>4738.7000000000007</v>
      </c>
      <c r="GS30" s="200">
        <f t="shared" si="111"/>
        <v>1</v>
      </c>
      <c r="GT30" s="157">
        <f t="shared" si="112"/>
        <v>808.52323931212368</v>
      </c>
      <c r="GU30" s="157">
        <f t="shared" si="113"/>
        <v>645.54794520547944</v>
      </c>
      <c r="GV30" s="162">
        <f t="shared" si="114"/>
        <v>4678.7247058933563</v>
      </c>
      <c r="GW30" s="157">
        <f t="shared" si="115"/>
        <v>875</v>
      </c>
      <c r="GX30" s="157">
        <f t="shared" si="247"/>
        <v>525</v>
      </c>
      <c r="GY30" s="207">
        <f t="shared" si="35"/>
        <v>350</v>
      </c>
      <c r="GZ30" s="207">
        <f t="shared" si="116"/>
        <v>350</v>
      </c>
      <c r="HA30" s="157">
        <f t="shared" si="117"/>
        <v>350</v>
      </c>
      <c r="HB30" s="157">
        <f t="shared" si="36"/>
        <v>525</v>
      </c>
      <c r="HC30" s="157">
        <f t="shared" si="37"/>
        <v>875</v>
      </c>
      <c r="HD30" s="168">
        <f t="shared" si="38"/>
        <v>20.649999999999995</v>
      </c>
      <c r="HE30" s="168">
        <f t="shared" si="118"/>
        <v>30.974999999999998</v>
      </c>
      <c r="HF30" s="168">
        <f t="shared" si="39"/>
        <v>51.624999999999993</v>
      </c>
      <c r="HG30" s="157">
        <f t="shared" si="119"/>
        <v>3803.7247058933563</v>
      </c>
      <c r="HH30" s="168">
        <f t="shared" si="120"/>
        <v>6.0769999999999893</v>
      </c>
      <c r="HI30" s="168">
        <f t="shared" si="121"/>
        <v>47.702871119415292</v>
      </c>
      <c r="HJ30" s="168">
        <f t="shared" si="122"/>
        <v>276.04475764770797</v>
      </c>
      <c r="HK30" s="168">
        <f t="shared" si="123"/>
        <v>224.419757647708</v>
      </c>
      <c r="HL30" s="168">
        <f t="shared" si="124"/>
        <v>380.49382876712326</v>
      </c>
      <c r="HM30" s="157">
        <f t="shared" si="125"/>
        <v>977.99999999999977</v>
      </c>
      <c r="HN30" s="168">
        <f t="shared" si="126"/>
        <v>30.974999999999998</v>
      </c>
      <c r="HP30" s="168">
        <f t="shared" si="127"/>
        <v>152.46779999999995</v>
      </c>
      <c r="HQ30" s="168">
        <f t="shared" si="128"/>
        <v>95.721599999999981</v>
      </c>
      <c r="HR30" s="181"/>
      <c r="HU30" s="168">
        <f t="shared" si="248"/>
        <v>2.5</v>
      </c>
      <c r="HV30" s="161">
        <f t="shared" si="248"/>
        <v>350</v>
      </c>
      <c r="HW30" s="161">
        <f t="shared" si="40"/>
        <v>525</v>
      </c>
      <c r="HX30" s="161">
        <f t="shared" si="41"/>
        <v>875</v>
      </c>
      <c r="HY30" s="161">
        <v>58.999999999999993</v>
      </c>
      <c r="HZ30" s="168">
        <f t="shared" si="129"/>
        <v>2.5</v>
      </c>
      <c r="IA30" s="161">
        <v>12.89571428571427</v>
      </c>
      <c r="IB30" s="161">
        <v>19.343571428571405</v>
      </c>
      <c r="IC30" s="161">
        <v>32.239285714285671</v>
      </c>
      <c r="ID30" s="168">
        <f t="shared" si="249"/>
        <v>0.56785714285714284</v>
      </c>
      <c r="IE30" s="154">
        <f t="shared" si="130"/>
        <v>21</v>
      </c>
      <c r="IF30" s="154">
        <f t="shared" si="131"/>
        <v>-15.5</v>
      </c>
      <c r="IG30" s="181">
        <f t="shared" si="132"/>
        <v>0.27321428571428541</v>
      </c>
      <c r="IH30" s="181">
        <f t="shared" si="133"/>
        <v>7.5732142857142861</v>
      </c>
      <c r="II30" s="181">
        <f t="shared" si="134"/>
        <v>0</v>
      </c>
      <c r="IJ30" s="181">
        <f t="shared" si="135"/>
        <v>8.0801212938005396</v>
      </c>
      <c r="IK30" s="181">
        <f t="shared" si="136"/>
        <v>15</v>
      </c>
      <c r="IL30" s="181">
        <f t="shared" si="250"/>
        <v>0</v>
      </c>
      <c r="IM30" s="181">
        <f t="shared" si="137"/>
        <v>0</v>
      </c>
      <c r="IN30" s="157">
        <f t="shared" si="138"/>
        <v>1467.4564285714284</v>
      </c>
      <c r="IO30" s="157">
        <f t="shared" si="139"/>
        <v>2584.1999999999998</v>
      </c>
      <c r="IP30" s="157">
        <f t="shared" si="42"/>
        <v>440.10428571428565</v>
      </c>
      <c r="IQ30" s="157">
        <f t="shared" si="43"/>
        <v>676.63928571428573</v>
      </c>
      <c r="IR30" s="157">
        <f t="shared" si="140"/>
        <v>3219.3</v>
      </c>
      <c r="IS30" s="157">
        <f t="shared" si="141"/>
        <v>808.52323931212368</v>
      </c>
      <c r="IT30" s="157">
        <f t="shared" si="142"/>
        <v>3895.9392857142857</v>
      </c>
      <c r="IU30" s="200">
        <f t="shared" si="143"/>
        <v>1</v>
      </c>
      <c r="IV30" s="157">
        <f t="shared" si="144"/>
        <v>808.52323931212368</v>
      </c>
      <c r="IW30" s="157">
        <f t="shared" si="145"/>
        <v>645.54794520547944</v>
      </c>
      <c r="IX30" s="162">
        <f t="shared" si="146"/>
        <v>4173.0682773219278</v>
      </c>
      <c r="IY30" s="157">
        <f t="shared" si="22"/>
        <v>875</v>
      </c>
      <c r="IZ30" s="157">
        <f t="shared" si="147"/>
        <v>19.343571428571405</v>
      </c>
      <c r="JA30" s="207">
        <f t="shared" si="148"/>
        <v>350</v>
      </c>
      <c r="JB30" s="207">
        <f t="shared" si="149"/>
        <v>12.89571428571427</v>
      </c>
      <c r="JC30" s="157">
        <f t="shared" si="150"/>
        <v>12.89571428571427</v>
      </c>
      <c r="JD30" s="157">
        <f t="shared" si="151"/>
        <v>19.343571428571405</v>
      </c>
      <c r="JE30" s="157">
        <f t="shared" si="152"/>
        <v>32.239285714285671</v>
      </c>
      <c r="JF30" s="168">
        <f t="shared" si="153"/>
        <v>0.76084714285714183</v>
      </c>
      <c r="JG30" s="168">
        <f t="shared" si="154"/>
        <v>1.1412707142857128</v>
      </c>
      <c r="JH30" s="168">
        <f t="shared" si="155"/>
        <v>1.9021178571428543</v>
      </c>
      <c r="JI30" s="157">
        <f t="shared" si="156"/>
        <v>4140.8289916076419</v>
      </c>
      <c r="JJ30" s="168">
        <f t="shared" si="157"/>
        <v>25.966152857142852</v>
      </c>
      <c r="JK30" s="168">
        <f t="shared" si="158"/>
        <v>47.702871119415292</v>
      </c>
      <c r="JL30" s="168">
        <f t="shared" si="159"/>
        <v>246.21102836199373</v>
      </c>
      <c r="JM30" s="168">
        <f t="shared" si="160"/>
        <v>244.30891050485087</v>
      </c>
      <c r="JN30" s="168">
        <f t="shared" si="161"/>
        <v>380.49382876712326</v>
      </c>
      <c r="JO30" s="157">
        <f t="shared" si="162"/>
        <v>472.34357142857129</v>
      </c>
      <c r="JP30" s="168">
        <f t="shared" si="163"/>
        <v>1.1412707142857128</v>
      </c>
      <c r="JR30" s="168">
        <f t="shared" si="164"/>
        <v>152.46779999999995</v>
      </c>
      <c r="JS30" s="168">
        <f t="shared" si="165"/>
        <v>65.887870714285711</v>
      </c>
      <c r="JT30" s="181"/>
      <c r="JW30" s="168">
        <f t="shared" ref="JW30:JX30" si="263">JW29</f>
        <v>2.5</v>
      </c>
      <c r="JX30" s="161">
        <f t="shared" si="263"/>
        <v>350</v>
      </c>
      <c r="JY30" s="161">
        <f t="shared" si="44"/>
        <v>525</v>
      </c>
      <c r="JZ30" s="161">
        <f t="shared" si="45"/>
        <v>875</v>
      </c>
      <c r="KA30" s="161">
        <v>58.999999999999993</v>
      </c>
      <c r="KB30" s="168">
        <f t="shared" si="166"/>
        <v>2.5</v>
      </c>
      <c r="KC30" s="161">
        <v>12.89571428571427</v>
      </c>
      <c r="KD30" s="161">
        <v>19.343571428571405</v>
      </c>
      <c r="KE30" s="161">
        <v>32.239285714285671</v>
      </c>
      <c r="KF30" s="168">
        <f t="shared" ref="KF30" si="264">KF29</f>
        <v>0.56785714285714284</v>
      </c>
      <c r="KG30" s="154">
        <f t="shared" si="167"/>
        <v>21</v>
      </c>
      <c r="KH30" s="154">
        <f t="shared" si="168"/>
        <v>-15.5</v>
      </c>
      <c r="KI30" s="181">
        <f t="shared" si="169"/>
        <v>0.27321428571428541</v>
      </c>
      <c r="KJ30" s="181">
        <f t="shared" si="170"/>
        <v>7.5732142857142861</v>
      </c>
      <c r="KK30" s="181">
        <f t="shared" si="171"/>
        <v>0</v>
      </c>
      <c r="KL30" s="181">
        <f t="shared" si="172"/>
        <v>7.5732142857142861</v>
      </c>
      <c r="KM30" s="181">
        <f t="shared" si="173"/>
        <v>15</v>
      </c>
      <c r="KN30" s="181">
        <f t="shared" si="253"/>
        <v>0</v>
      </c>
      <c r="KO30" s="181">
        <f t="shared" si="174"/>
        <v>0</v>
      </c>
      <c r="KP30" s="157">
        <f t="shared" si="175"/>
        <v>1467.4564285714284</v>
      </c>
      <c r="KQ30" s="157">
        <f t="shared" si="46"/>
        <v>2584.1999999999998</v>
      </c>
      <c r="KR30" s="157">
        <f t="shared" si="176"/>
        <v>472.34357142857135</v>
      </c>
      <c r="KS30" s="157">
        <f t="shared" si="177"/>
        <v>644.40000000000009</v>
      </c>
      <c r="KT30" s="157">
        <f t="shared" si="178"/>
        <v>3219.3</v>
      </c>
      <c r="KU30" s="157">
        <f t="shared" si="179"/>
        <v>808.52323931212368</v>
      </c>
      <c r="KV30" s="157">
        <f t="shared" si="180"/>
        <v>3863.7000000000003</v>
      </c>
      <c r="KW30" s="200">
        <f t="shared" si="181"/>
        <v>1</v>
      </c>
      <c r="KX30" s="157">
        <f t="shared" si="182"/>
        <v>808.52323931212368</v>
      </c>
      <c r="KY30" s="157">
        <f t="shared" si="183"/>
        <v>645.54794520547944</v>
      </c>
      <c r="KZ30" s="162">
        <f t="shared" si="47"/>
        <v>4173.0682773219278</v>
      </c>
      <c r="LA30" s="157">
        <f t="shared" si="184"/>
        <v>875</v>
      </c>
      <c r="LB30" s="157">
        <f t="shared" si="185"/>
        <v>19.343571428571405</v>
      </c>
      <c r="LC30" s="207">
        <f t="shared" si="186"/>
        <v>350</v>
      </c>
      <c r="LD30" s="207">
        <f t="shared" si="187"/>
        <v>12.89571428571427</v>
      </c>
      <c r="LE30" s="157">
        <f t="shared" si="188"/>
        <v>12.89571428571427</v>
      </c>
      <c r="LF30" s="157">
        <f t="shared" si="189"/>
        <v>19.343571428571405</v>
      </c>
      <c r="LG30" s="157">
        <f t="shared" si="190"/>
        <v>32.239285714285671</v>
      </c>
      <c r="LH30" s="168">
        <f t="shared" si="191"/>
        <v>0.76084714285714183</v>
      </c>
      <c r="LI30" s="168">
        <f t="shared" si="192"/>
        <v>1.1412707142857128</v>
      </c>
      <c r="LJ30" s="168">
        <f t="shared" si="193"/>
        <v>1.9021178571428543</v>
      </c>
      <c r="LK30" s="157">
        <f t="shared" si="194"/>
        <v>4140.8289916076419</v>
      </c>
      <c r="LL30" s="168">
        <f t="shared" si="195"/>
        <v>27.868270714285707</v>
      </c>
      <c r="LM30" s="168">
        <f t="shared" si="196"/>
        <v>47.702871119415292</v>
      </c>
      <c r="LN30" s="168">
        <f t="shared" si="197"/>
        <v>246.21102836199373</v>
      </c>
      <c r="LO30" s="168">
        <f t="shared" si="198"/>
        <v>244.30891050485087</v>
      </c>
      <c r="LP30" s="168">
        <f t="shared" si="199"/>
        <v>380.49382876712326</v>
      </c>
      <c r="LQ30" s="157">
        <f t="shared" si="200"/>
        <v>472.34357142857129</v>
      </c>
      <c r="LR30" s="168">
        <f t="shared" si="201"/>
        <v>1.1412707142857128</v>
      </c>
      <c r="LT30" s="168">
        <f t="shared" si="202"/>
        <v>152.46779999999995</v>
      </c>
      <c r="LU30" s="168">
        <f t="shared" si="203"/>
        <v>65.887870714285711</v>
      </c>
      <c r="LV30" s="181"/>
      <c r="LY30" s="168">
        <f t="shared" si="254"/>
        <v>2.5</v>
      </c>
      <c r="LZ30" s="161">
        <f t="shared" si="254"/>
        <v>350</v>
      </c>
      <c r="MA30" s="161">
        <f t="shared" si="48"/>
        <v>525</v>
      </c>
      <c r="MB30" s="161">
        <f t="shared" si="49"/>
        <v>875</v>
      </c>
      <c r="MC30" s="161">
        <v>58.999999999999993</v>
      </c>
      <c r="MD30" s="168">
        <f t="shared" si="204"/>
        <v>2.5</v>
      </c>
      <c r="ME30" s="161">
        <v>350</v>
      </c>
      <c r="MF30" s="161">
        <v>525</v>
      </c>
      <c r="MG30" s="161">
        <v>875</v>
      </c>
      <c r="MH30" s="168">
        <f t="shared" si="255"/>
        <v>0.56785714285714284</v>
      </c>
      <c r="MI30" s="154">
        <f t="shared" si="205"/>
        <v>21</v>
      </c>
      <c r="MJ30" s="181">
        <f t="shared" si="206"/>
        <v>13.584745762711865</v>
      </c>
      <c r="MK30" s="181">
        <f t="shared" si="207"/>
        <v>0</v>
      </c>
      <c r="ML30" s="154">
        <f t="shared" si="208"/>
        <v>-15.5</v>
      </c>
      <c r="MM30" s="181">
        <f t="shared" si="209"/>
        <v>-0.37735849056603676</v>
      </c>
      <c r="MN30" s="181">
        <f t="shared" si="210"/>
        <v>-0.37735849056603676</v>
      </c>
      <c r="MO30" s="181">
        <f t="shared" si="211"/>
        <v>15</v>
      </c>
      <c r="MP30" s="181">
        <f t="shared" si="212"/>
        <v>0</v>
      </c>
      <c r="MQ30" s="157">
        <f t="shared" si="50"/>
        <v>961.8</v>
      </c>
      <c r="MR30" s="157">
        <f t="shared" si="213"/>
        <v>2584.1999999999998</v>
      </c>
      <c r="MS30" s="157">
        <f t="shared" si="214"/>
        <v>977.99999999999989</v>
      </c>
      <c r="MT30" s="157">
        <f t="shared" si="215"/>
        <v>644.4</v>
      </c>
      <c r="MU30" s="157">
        <f t="shared" si="216"/>
        <v>3219.3</v>
      </c>
      <c r="MV30" s="157">
        <f t="shared" si="217"/>
        <v>808.52323931212368</v>
      </c>
      <c r="MW30" s="157">
        <f t="shared" si="218"/>
        <v>3863.7000000000003</v>
      </c>
      <c r="MX30" s="200">
        <f t="shared" si="219"/>
        <v>1</v>
      </c>
      <c r="MY30" s="157">
        <f t="shared" si="220"/>
        <v>808.52323931212368</v>
      </c>
      <c r="MZ30" s="157">
        <f t="shared" si="221"/>
        <v>645.54794520547944</v>
      </c>
      <c r="NA30" s="162">
        <f t="shared" si="222"/>
        <v>4678.7247058933563</v>
      </c>
      <c r="NB30" s="157">
        <f t="shared" si="223"/>
        <v>875</v>
      </c>
      <c r="NC30" s="157">
        <f t="shared" si="224"/>
        <v>525</v>
      </c>
      <c r="ND30" s="207">
        <f t="shared" si="51"/>
        <v>350</v>
      </c>
      <c r="NE30" s="207">
        <f t="shared" si="225"/>
        <v>350</v>
      </c>
      <c r="NF30" s="157">
        <f t="shared" si="226"/>
        <v>350</v>
      </c>
      <c r="NG30" s="157">
        <f t="shared" si="52"/>
        <v>525</v>
      </c>
      <c r="NH30" s="157">
        <f t="shared" si="53"/>
        <v>875</v>
      </c>
      <c r="NI30" s="168">
        <f t="shared" si="227"/>
        <v>20.649999999999995</v>
      </c>
      <c r="NJ30" s="168">
        <f t="shared" si="228"/>
        <v>30.974999999999998</v>
      </c>
      <c r="NK30" s="168">
        <f t="shared" si="229"/>
        <v>51.624999999999993</v>
      </c>
      <c r="NL30" s="157">
        <f t="shared" si="230"/>
        <v>3803.7247058933563</v>
      </c>
      <c r="NM30" s="168">
        <f t="shared" si="231"/>
        <v>57.701999999999984</v>
      </c>
      <c r="NN30" s="168">
        <f t="shared" si="232"/>
        <v>47.702871119415292</v>
      </c>
      <c r="NO30" s="168">
        <f t="shared" si="233"/>
        <v>276.04475764770797</v>
      </c>
      <c r="NP30" s="168">
        <f t="shared" si="234"/>
        <v>224.419757647708</v>
      </c>
      <c r="NQ30" s="168">
        <f t="shared" si="235"/>
        <v>380.49382876712326</v>
      </c>
      <c r="NR30" s="157">
        <f t="shared" si="236"/>
        <v>977.99999999999977</v>
      </c>
      <c r="NS30" s="168">
        <f t="shared" si="237"/>
        <v>30.974999999999998</v>
      </c>
      <c r="NT30" s="157">
        <f t="shared" si="238"/>
        <v>6449.0479452054797</v>
      </c>
      <c r="NU30" s="168">
        <f t="shared" si="239"/>
        <v>152.46779999999995</v>
      </c>
      <c r="NV30" s="168">
        <f t="shared" si="240"/>
        <v>95.721599999999981</v>
      </c>
      <c r="NW30" s="181"/>
      <c r="NX30" s="157"/>
      <c r="NY30" s="157"/>
      <c r="NZ30" s="157"/>
      <c r="OA30" s="157"/>
      <c r="OB30" s="157"/>
    </row>
    <row r="31" spans="1:392" ht="13" x14ac:dyDescent="0.3">
      <c r="A31" s="154">
        <v>2.7625570776255706</v>
      </c>
      <c r="B31" s="154">
        <v>-14.5</v>
      </c>
      <c r="C31" s="154">
        <f t="shared" si="241"/>
        <v>-14.5</v>
      </c>
      <c r="D31" s="154">
        <v>686.5</v>
      </c>
      <c r="E31" s="200">
        <f t="shared" si="242"/>
        <v>8.8012820512820511</v>
      </c>
      <c r="F31" s="181">
        <f t="shared" si="54"/>
        <v>3131.1</v>
      </c>
      <c r="G31" s="161">
        <f t="shared" si="258"/>
        <v>78</v>
      </c>
      <c r="H31" s="154">
        <f t="shared" si="55"/>
        <v>3.1311</v>
      </c>
      <c r="I31" s="161">
        <f t="shared" si="56"/>
        <v>2769</v>
      </c>
      <c r="J31" s="181">
        <f t="shared" si="57"/>
        <v>21</v>
      </c>
      <c r="K31" s="181">
        <f t="shared" si="58"/>
        <v>13.584745762711865</v>
      </c>
      <c r="L31" s="181">
        <f t="shared" si="59"/>
        <v>0</v>
      </c>
      <c r="M31" s="181">
        <f t="shared" si="60"/>
        <v>-14.5</v>
      </c>
      <c r="N31" s="181">
        <f t="shared" si="61"/>
        <v>0.62264150943396324</v>
      </c>
      <c r="O31" s="181">
        <f t="shared" si="62"/>
        <v>0.62264150943396324</v>
      </c>
      <c r="P31" s="181">
        <f t="shared" si="63"/>
        <v>15</v>
      </c>
      <c r="Q31" s="181">
        <f t="shared" si="64"/>
        <v>6.1257861635220143</v>
      </c>
      <c r="R31" s="168">
        <f t="shared" si="65"/>
        <v>68.25</v>
      </c>
      <c r="S31" s="161">
        <f t="shared" si="66"/>
        <v>444.79650815668714</v>
      </c>
      <c r="T31" s="161">
        <f t="shared" si="67"/>
        <v>84.400124924614488</v>
      </c>
      <c r="U31" s="161">
        <f t="shared" si="68"/>
        <v>75.16225370034816</v>
      </c>
      <c r="V31" s="154">
        <f t="shared" si="69"/>
        <v>0.91439999999999988</v>
      </c>
      <c r="W31" s="154">
        <f t="shared" si="70"/>
        <v>3.8657193353421428</v>
      </c>
      <c r="X31" s="154">
        <f t="shared" si="71"/>
        <v>5.7025193353421431</v>
      </c>
      <c r="Y31" s="154">
        <f t="shared" si="72"/>
        <v>6.2900479452054805</v>
      </c>
      <c r="Z31" s="154">
        <f t="shared" si="73"/>
        <v>2.5134000000000003</v>
      </c>
      <c r="AA31" s="154">
        <f t="shared" si="74"/>
        <v>0.58752860986333744</v>
      </c>
      <c r="AB31" s="154">
        <f t="shared" si="26"/>
        <v>4.740719335342142</v>
      </c>
      <c r="AC31" s="154">
        <f t="shared" si="27"/>
        <v>0.64554794520547942</v>
      </c>
      <c r="AD31" s="154">
        <f t="shared" si="28"/>
        <v>0.35</v>
      </c>
      <c r="AE31" s="154">
        <f t="shared" si="29"/>
        <v>0.52500000000000002</v>
      </c>
      <c r="AF31" s="154">
        <f t="shared" si="30"/>
        <v>0.875</v>
      </c>
      <c r="AG31" s="154">
        <f t="shared" si="75"/>
        <v>0.96179999999999999</v>
      </c>
      <c r="AH31" s="154">
        <f t="shared" si="76"/>
        <v>1.8368</v>
      </c>
      <c r="AI31" s="154">
        <f t="shared" si="77"/>
        <v>0.58732876712328763</v>
      </c>
      <c r="AJ31" s="154">
        <f t="shared" si="78"/>
        <v>5.8219178082191785E-2</v>
      </c>
      <c r="AK31" s="154">
        <f t="shared" si="79"/>
        <v>0</v>
      </c>
      <c r="AL31" s="161">
        <f t="shared" si="80"/>
        <v>587.32876712328766</v>
      </c>
      <c r="AM31" s="161">
        <f t="shared" si="81"/>
        <v>58.219178082191782</v>
      </c>
      <c r="AN31" s="161">
        <f t="shared" si="82"/>
        <v>0</v>
      </c>
      <c r="AO31" s="161"/>
      <c r="AP31" s="154">
        <f t="shared" si="83"/>
        <v>0.64554794520547942</v>
      </c>
      <c r="AQ31" s="154">
        <f t="shared" si="84"/>
        <v>0.64554794520547942</v>
      </c>
      <c r="AR31" s="154">
        <f t="shared" si="85"/>
        <v>2.7511999999999999</v>
      </c>
      <c r="AS31" s="161"/>
      <c r="AT31" s="161"/>
      <c r="AU31" s="161"/>
      <c r="AV31" s="161"/>
      <c r="AW31" s="181"/>
      <c r="AX31" s="181"/>
      <c r="AY31" s="181"/>
      <c r="AZ31" s="181"/>
      <c r="BA31" s="181"/>
      <c r="BB31" s="161"/>
      <c r="BC31" s="161"/>
      <c r="BD31" s="161"/>
      <c r="BE31" s="181"/>
      <c r="BF31" s="168"/>
      <c r="BG31" s="181"/>
      <c r="BH31" s="168"/>
      <c r="BI31" s="168"/>
      <c r="BJ31" s="161"/>
      <c r="BK31" s="168"/>
      <c r="BL31" s="168"/>
      <c r="BM31" s="168"/>
      <c r="BN31" s="168"/>
      <c r="BO31" s="168">
        <f t="shared" si="86"/>
        <v>45.811643835616437</v>
      </c>
      <c r="BP31" s="168">
        <f t="shared" si="87"/>
        <v>4.5410958904109595</v>
      </c>
      <c r="BQ31" s="168">
        <f t="shared" si="88"/>
        <v>0</v>
      </c>
      <c r="BR31" s="181"/>
      <c r="BS31" s="161"/>
      <c r="BT31" s="168"/>
      <c r="BU31" s="161"/>
      <c r="BV31" s="161"/>
      <c r="BW31" s="161"/>
      <c r="BX31" s="161"/>
      <c r="CB31" s="181">
        <f t="shared" si="89"/>
        <v>8.0707888363510545</v>
      </c>
      <c r="CC31" s="181">
        <f t="shared" si="32"/>
        <v>0</v>
      </c>
      <c r="CD31" s="181">
        <f t="shared" si="32"/>
        <v>9.4332391736823897</v>
      </c>
      <c r="CE31" s="181">
        <f t="shared" si="32"/>
        <v>0</v>
      </c>
      <c r="CF31" s="181">
        <f t="shared" si="32"/>
        <v>31.379011648022143</v>
      </c>
      <c r="CG31" s="181">
        <f t="shared" si="32"/>
        <v>0</v>
      </c>
      <c r="CH31" s="181">
        <f t="shared" si="32"/>
        <v>9.4455702052819746</v>
      </c>
      <c r="CI31" s="181">
        <f t="shared" si="32"/>
        <v>0</v>
      </c>
      <c r="CJ31" s="182">
        <f t="shared" si="90"/>
        <v>58.328609863337562</v>
      </c>
      <c r="CK31" s="161">
        <f t="shared" si="91"/>
        <v>58.328609863337562</v>
      </c>
      <c r="CL31" s="161">
        <f t="shared" si="243"/>
        <v>529.19999999999993</v>
      </c>
      <c r="CM31" s="182">
        <f t="shared" si="92"/>
        <v>587.52860986333746</v>
      </c>
      <c r="CN31" s="157">
        <f t="shared" si="93"/>
        <v>4.5496315693403293</v>
      </c>
      <c r="CO31" s="162">
        <f t="shared" si="94"/>
        <v>587.52860986333746</v>
      </c>
      <c r="FT31" s="168">
        <f t="shared" si="244"/>
        <v>2.5</v>
      </c>
      <c r="FU31" s="161">
        <f t="shared" si="245"/>
        <v>350</v>
      </c>
      <c r="FV31" s="161">
        <f t="shared" si="33"/>
        <v>525</v>
      </c>
      <c r="FW31" s="161">
        <f t="shared" si="95"/>
        <v>875</v>
      </c>
      <c r="FX31" s="161">
        <v>78</v>
      </c>
      <c r="FY31" s="168">
        <f t="shared" si="96"/>
        <v>2.5</v>
      </c>
      <c r="FZ31" s="161">
        <v>350</v>
      </c>
      <c r="GA31" s="161">
        <v>525</v>
      </c>
      <c r="GB31" s="161">
        <v>875</v>
      </c>
      <c r="GC31" s="168">
        <f t="shared" si="246"/>
        <v>0.56785714285714284</v>
      </c>
      <c r="GD31" s="154">
        <f t="shared" si="97"/>
        <v>21</v>
      </c>
      <c r="GE31" s="181">
        <f t="shared" si="98"/>
        <v>13.584745762711865</v>
      </c>
      <c r="GF31" s="181">
        <f t="shared" si="34"/>
        <v>0</v>
      </c>
      <c r="GG31" s="154">
        <f t="shared" si="99"/>
        <v>-14.5</v>
      </c>
      <c r="GH31" s="181">
        <f t="shared" si="100"/>
        <v>0.62264150943396324</v>
      </c>
      <c r="GI31" s="181">
        <f t="shared" si="101"/>
        <v>14.380503144654091</v>
      </c>
      <c r="GJ31" s="181">
        <f t="shared" si="102"/>
        <v>15</v>
      </c>
      <c r="GK31" s="181">
        <f t="shared" si="103"/>
        <v>0</v>
      </c>
      <c r="GL31" s="157">
        <f t="shared" si="104"/>
        <v>961.8</v>
      </c>
      <c r="GM31" s="157">
        <f t="shared" si="105"/>
        <v>2513.4</v>
      </c>
      <c r="GN31" s="157">
        <f t="shared" si="106"/>
        <v>39.399999999999842</v>
      </c>
      <c r="GO31" s="157">
        <f t="shared" si="107"/>
        <v>1512.2000000000003</v>
      </c>
      <c r="GP31" s="157">
        <f t="shared" si="108"/>
        <v>3131.1</v>
      </c>
      <c r="GQ31" s="157">
        <f t="shared" si="109"/>
        <v>587.52860986333746</v>
      </c>
      <c r="GR31" s="157">
        <f t="shared" si="110"/>
        <v>4643.3</v>
      </c>
      <c r="GS31" s="200">
        <f t="shared" si="111"/>
        <v>1</v>
      </c>
      <c r="GT31" s="157">
        <f t="shared" si="112"/>
        <v>587.52860986333746</v>
      </c>
      <c r="GU31" s="157">
        <f t="shared" si="113"/>
        <v>645.54794520547944</v>
      </c>
      <c r="GV31" s="162">
        <f t="shared" si="114"/>
        <v>4740.7193353421417</v>
      </c>
      <c r="GW31" s="157">
        <f t="shared" si="115"/>
        <v>875</v>
      </c>
      <c r="GX31" s="157">
        <f t="shared" si="247"/>
        <v>525</v>
      </c>
      <c r="GY31" s="207">
        <f t="shared" si="35"/>
        <v>350</v>
      </c>
      <c r="GZ31" s="207">
        <f t="shared" si="116"/>
        <v>350</v>
      </c>
      <c r="HA31" s="157">
        <f t="shared" si="117"/>
        <v>350</v>
      </c>
      <c r="HB31" s="157">
        <f t="shared" si="36"/>
        <v>525</v>
      </c>
      <c r="HC31" s="157">
        <f t="shared" si="37"/>
        <v>875</v>
      </c>
      <c r="HD31" s="168">
        <f t="shared" si="38"/>
        <v>27.299999999999997</v>
      </c>
      <c r="HE31" s="168">
        <f t="shared" si="118"/>
        <v>40.950000000000003</v>
      </c>
      <c r="HF31" s="168">
        <f t="shared" si="39"/>
        <v>68.25</v>
      </c>
      <c r="HG31" s="157">
        <f t="shared" si="119"/>
        <v>3865.7193353421417</v>
      </c>
      <c r="HH31" s="168">
        <f t="shared" si="120"/>
        <v>3.0731999999999879</v>
      </c>
      <c r="HI31" s="168">
        <f t="shared" si="121"/>
        <v>45.82723156934032</v>
      </c>
      <c r="HJ31" s="168">
        <f t="shared" si="122"/>
        <v>369.77610815668709</v>
      </c>
      <c r="HK31" s="168">
        <f t="shared" si="123"/>
        <v>301.52610815668703</v>
      </c>
      <c r="HL31" s="168">
        <f t="shared" si="124"/>
        <v>490.6237397260274</v>
      </c>
      <c r="HM31" s="157">
        <f t="shared" si="125"/>
        <v>914.39999999999986</v>
      </c>
      <c r="HN31" s="168">
        <f t="shared" si="126"/>
        <v>40.950000000000003</v>
      </c>
      <c r="HP31" s="168">
        <f t="shared" si="127"/>
        <v>196.04520000000002</v>
      </c>
      <c r="HQ31" s="168">
        <f t="shared" si="128"/>
        <v>121.02480000000001</v>
      </c>
      <c r="HR31" s="181"/>
      <c r="HU31" s="168">
        <f t="shared" si="248"/>
        <v>2.5</v>
      </c>
      <c r="HV31" s="161">
        <f t="shared" si="248"/>
        <v>350</v>
      </c>
      <c r="HW31" s="161">
        <f t="shared" si="40"/>
        <v>525</v>
      </c>
      <c r="HX31" s="161">
        <f t="shared" si="41"/>
        <v>875</v>
      </c>
      <c r="HY31" s="161">
        <v>78</v>
      </c>
      <c r="HZ31" s="168">
        <f t="shared" si="129"/>
        <v>2.5</v>
      </c>
      <c r="IA31" s="161">
        <v>39.69857142857142</v>
      </c>
      <c r="IB31" s="161">
        <v>59.547857142857126</v>
      </c>
      <c r="IC31" s="161">
        <v>99.246428571428552</v>
      </c>
      <c r="ID31" s="168">
        <f t="shared" si="249"/>
        <v>0.56785714285714284</v>
      </c>
      <c r="IE31" s="154">
        <f t="shared" si="130"/>
        <v>21</v>
      </c>
      <c r="IF31" s="154">
        <f t="shared" si="131"/>
        <v>-14.5</v>
      </c>
      <c r="IG31" s="181">
        <f t="shared" si="132"/>
        <v>0.84107142857142847</v>
      </c>
      <c r="IH31" s="181">
        <f t="shared" si="133"/>
        <v>7.9410714285714299</v>
      </c>
      <c r="II31" s="181">
        <f t="shared" si="134"/>
        <v>1.1102230246251565E-16</v>
      </c>
      <c r="IJ31" s="181">
        <f t="shared" si="135"/>
        <v>9.5015498652291122</v>
      </c>
      <c r="IK31" s="181">
        <f t="shared" si="136"/>
        <v>15</v>
      </c>
      <c r="IL31" s="181">
        <f t="shared" si="250"/>
        <v>0</v>
      </c>
      <c r="IM31" s="181">
        <f t="shared" si="137"/>
        <v>0</v>
      </c>
      <c r="IN31" s="157">
        <f t="shared" si="138"/>
        <v>1427.2521428571429</v>
      </c>
      <c r="IO31" s="157">
        <f t="shared" si="139"/>
        <v>2513.4</v>
      </c>
      <c r="IP31" s="157">
        <f t="shared" si="42"/>
        <v>349.70142857142844</v>
      </c>
      <c r="IQ31" s="157">
        <f t="shared" si="43"/>
        <v>736.44642857142878</v>
      </c>
      <c r="IR31" s="157">
        <f t="shared" si="140"/>
        <v>3131.1</v>
      </c>
      <c r="IS31" s="157">
        <f t="shared" si="141"/>
        <v>587.52860986333746</v>
      </c>
      <c r="IT31" s="157">
        <f t="shared" si="142"/>
        <v>3867.5464285714288</v>
      </c>
      <c r="IU31" s="200">
        <f t="shared" si="143"/>
        <v>1</v>
      </c>
      <c r="IV31" s="157">
        <f t="shared" si="144"/>
        <v>587.52860986333746</v>
      </c>
      <c r="IW31" s="157">
        <f t="shared" si="145"/>
        <v>645.54794520547944</v>
      </c>
      <c r="IX31" s="162">
        <f t="shared" si="146"/>
        <v>4275.2671924849992</v>
      </c>
      <c r="IY31" s="157">
        <f t="shared" si="22"/>
        <v>875</v>
      </c>
      <c r="IZ31" s="157">
        <f t="shared" si="147"/>
        <v>59.547857142857133</v>
      </c>
      <c r="JA31" s="207">
        <f t="shared" si="148"/>
        <v>350</v>
      </c>
      <c r="JB31" s="207">
        <f t="shared" si="149"/>
        <v>39.69857142857142</v>
      </c>
      <c r="JC31" s="157">
        <f t="shared" si="150"/>
        <v>39.69857142857142</v>
      </c>
      <c r="JD31" s="157">
        <f t="shared" si="151"/>
        <v>59.547857142857126</v>
      </c>
      <c r="JE31" s="157">
        <f t="shared" si="152"/>
        <v>99.246428571428552</v>
      </c>
      <c r="JF31" s="168">
        <f t="shared" si="153"/>
        <v>3.0964885714285706</v>
      </c>
      <c r="JG31" s="168">
        <f t="shared" si="154"/>
        <v>4.6447328571428557</v>
      </c>
      <c r="JH31" s="168">
        <f t="shared" si="155"/>
        <v>7.7412214285714276</v>
      </c>
      <c r="JI31" s="157">
        <f t="shared" si="156"/>
        <v>4176.0207639135706</v>
      </c>
      <c r="JJ31" s="168">
        <f t="shared" si="157"/>
        <v>27.276711428571417</v>
      </c>
      <c r="JK31" s="168">
        <f t="shared" si="158"/>
        <v>45.82723156934032</v>
      </c>
      <c r="JL31" s="168">
        <f t="shared" si="159"/>
        <v>333.4708410138299</v>
      </c>
      <c r="JM31" s="168">
        <f t="shared" si="160"/>
        <v>325.72961958525855</v>
      </c>
      <c r="JN31" s="168">
        <f t="shared" si="161"/>
        <v>490.6237397260274</v>
      </c>
      <c r="JO31" s="157">
        <f t="shared" si="162"/>
        <v>448.94785714285695</v>
      </c>
      <c r="JP31" s="168">
        <f t="shared" si="163"/>
        <v>4.6447328571428557</v>
      </c>
      <c r="JR31" s="168">
        <f t="shared" si="164"/>
        <v>196.04520000000002</v>
      </c>
      <c r="JS31" s="168">
        <f t="shared" si="165"/>
        <v>84.719532857142852</v>
      </c>
      <c r="JT31" s="181"/>
      <c r="JW31" s="168">
        <f t="shared" ref="JW31:JX31" si="265">JW30</f>
        <v>2.5</v>
      </c>
      <c r="JX31" s="161">
        <f t="shared" si="265"/>
        <v>350</v>
      </c>
      <c r="JY31" s="161">
        <f t="shared" si="44"/>
        <v>525</v>
      </c>
      <c r="JZ31" s="161">
        <f t="shared" si="45"/>
        <v>875</v>
      </c>
      <c r="KA31" s="161">
        <v>78</v>
      </c>
      <c r="KB31" s="168">
        <f t="shared" si="166"/>
        <v>2.5</v>
      </c>
      <c r="KC31" s="161">
        <v>39.69857142857142</v>
      </c>
      <c r="KD31" s="161">
        <v>59.547857142857126</v>
      </c>
      <c r="KE31" s="161">
        <v>99.246428571428552</v>
      </c>
      <c r="KF31" s="168">
        <f t="shared" ref="KF31" si="266">KF30</f>
        <v>0.56785714285714284</v>
      </c>
      <c r="KG31" s="154">
        <f t="shared" si="167"/>
        <v>21</v>
      </c>
      <c r="KH31" s="154">
        <f t="shared" si="168"/>
        <v>-14.5</v>
      </c>
      <c r="KI31" s="181">
        <f t="shared" si="169"/>
        <v>0.84107142857142847</v>
      </c>
      <c r="KJ31" s="181">
        <f t="shared" si="170"/>
        <v>7.9410714285714299</v>
      </c>
      <c r="KK31" s="181">
        <f t="shared" si="171"/>
        <v>1.1102230246251565E-16</v>
      </c>
      <c r="KL31" s="181">
        <f t="shared" si="172"/>
        <v>7.9410714285714299</v>
      </c>
      <c r="KM31" s="181">
        <f t="shared" si="173"/>
        <v>15</v>
      </c>
      <c r="KN31" s="181">
        <f t="shared" si="253"/>
        <v>0</v>
      </c>
      <c r="KO31" s="181">
        <f t="shared" si="174"/>
        <v>0</v>
      </c>
      <c r="KP31" s="157">
        <f t="shared" si="175"/>
        <v>1427.2521428571429</v>
      </c>
      <c r="KQ31" s="157">
        <f t="shared" si="46"/>
        <v>2513.4</v>
      </c>
      <c r="KR31" s="157">
        <f t="shared" si="176"/>
        <v>448.947857142857</v>
      </c>
      <c r="KS31" s="157">
        <f t="shared" si="177"/>
        <v>637.20000000000027</v>
      </c>
      <c r="KT31" s="157">
        <f t="shared" si="178"/>
        <v>3131.1</v>
      </c>
      <c r="KU31" s="157">
        <f t="shared" si="179"/>
        <v>587.52860986333746</v>
      </c>
      <c r="KV31" s="157">
        <f t="shared" si="180"/>
        <v>3768.3</v>
      </c>
      <c r="KW31" s="200">
        <f t="shared" si="181"/>
        <v>1</v>
      </c>
      <c r="KX31" s="157">
        <f t="shared" si="182"/>
        <v>587.52860986333746</v>
      </c>
      <c r="KY31" s="157">
        <f t="shared" si="183"/>
        <v>645.54794520547944</v>
      </c>
      <c r="KZ31" s="162">
        <f t="shared" si="47"/>
        <v>4275.2671924849992</v>
      </c>
      <c r="LA31" s="157">
        <f t="shared" si="184"/>
        <v>875</v>
      </c>
      <c r="LB31" s="157">
        <f t="shared" si="185"/>
        <v>59.547857142857133</v>
      </c>
      <c r="LC31" s="207">
        <f t="shared" si="186"/>
        <v>350</v>
      </c>
      <c r="LD31" s="207">
        <f t="shared" si="187"/>
        <v>39.69857142857142</v>
      </c>
      <c r="LE31" s="157">
        <f t="shared" si="188"/>
        <v>39.69857142857142</v>
      </c>
      <c r="LF31" s="157">
        <f t="shared" si="189"/>
        <v>59.547857142857126</v>
      </c>
      <c r="LG31" s="157">
        <f t="shared" si="190"/>
        <v>99.246428571428552</v>
      </c>
      <c r="LH31" s="168">
        <f t="shared" si="191"/>
        <v>3.0964885714285706</v>
      </c>
      <c r="LI31" s="168">
        <f t="shared" si="192"/>
        <v>4.6447328571428557</v>
      </c>
      <c r="LJ31" s="168">
        <f t="shared" si="193"/>
        <v>7.7412214285714276</v>
      </c>
      <c r="LK31" s="157">
        <f t="shared" si="194"/>
        <v>4176.0207639135706</v>
      </c>
      <c r="LL31" s="168">
        <f t="shared" si="195"/>
        <v>35.017932857142846</v>
      </c>
      <c r="LM31" s="168">
        <f t="shared" si="196"/>
        <v>45.82723156934032</v>
      </c>
      <c r="LN31" s="168">
        <f t="shared" si="197"/>
        <v>333.4708410138299</v>
      </c>
      <c r="LO31" s="168">
        <f t="shared" si="198"/>
        <v>325.72961958525855</v>
      </c>
      <c r="LP31" s="168">
        <f t="shared" si="199"/>
        <v>490.6237397260274</v>
      </c>
      <c r="LQ31" s="157">
        <f t="shared" si="200"/>
        <v>448.94785714285695</v>
      </c>
      <c r="LR31" s="168">
        <f t="shared" si="201"/>
        <v>4.6447328571428557</v>
      </c>
      <c r="LT31" s="168">
        <f t="shared" si="202"/>
        <v>196.04520000000002</v>
      </c>
      <c r="LU31" s="168">
        <f t="shared" si="203"/>
        <v>84.719532857142852</v>
      </c>
      <c r="LV31" s="181"/>
      <c r="LY31" s="168">
        <f t="shared" si="254"/>
        <v>2.5</v>
      </c>
      <c r="LZ31" s="161">
        <f t="shared" si="254"/>
        <v>350</v>
      </c>
      <c r="MA31" s="161">
        <f t="shared" si="48"/>
        <v>525</v>
      </c>
      <c r="MB31" s="161">
        <f t="shared" si="49"/>
        <v>875</v>
      </c>
      <c r="MC31" s="161">
        <v>78</v>
      </c>
      <c r="MD31" s="168">
        <f t="shared" si="204"/>
        <v>2.5</v>
      </c>
      <c r="ME31" s="161">
        <v>350</v>
      </c>
      <c r="MF31" s="161">
        <v>525</v>
      </c>
      <c r="MG31" s="161">
        <v>875</v>
      </c>
      <c r="MH31" s="168">
        <f t="shared" si="255"/>
        <v>0.56785714285714284</v>
      </c>
      <c r="MI31" s="154">
        <f t="shared" si="205"/>
        <v>21</v>
      </c>
      <c r="MJ31" s="181">
        <f t="shared" si="206"/>
        <v>13.584745762711865</v>
      </c>
      <c r="MK31" s="181">
        <f t="shared" si="207"/>
        <v>0</v>
      </c>
      <c r="ML31" s="154">
        <f t="shared" si="208"/>
        <v>-14.5</v>
      </c>
      <c r="MM31" s="181">
        <f t="shared" si="209"/>
        <v>0.62264150943396324</v>
      </c>
      <c r="MN31" s="181">
        <f t="shared" si="210"/>
        <v>0.62264150943396324</v>
      </c>
      <c r="MO31" s="181">
        <f t="shared" si="211"/>
        <v>15</v>
      </c>
      <c r="MP31" s="181">
        <f t="shared" si="212"/>
        <v>0</v>
      </c>
      <c r="MQ31" s="157">
        <f t="shared" si="50"/>
        <v>961.8</v>
      </c>
      <c r="MR31" s="157">
        <f t="shared" si="213"/>
        <v>2513.4</v>
      </c>
      <c r="MS31" s="157">
        <f t="shared" si="214"/>
        <v>914.39999999999986</v>
      </c>
      <c r="MT31" s="157">
        <f t="shared" si="215"/>
        <v>637.20000000000027</v>
      </c>
      <c r="MU31" s="157">
        <f t="shared" si="216"/>
        <v>3131.1</v>
      </c>
      <c r="MV31" s="157">
        <f t="shared" si="217"/>
        <v>587.52860986333746</v>
      </c>
      <c r="MW31" s="157">
        <f t="shared" si="218"/>
        <v>3768.3</v>
      </c>
      <c r="MX31" s="200">
        <f t="shared" si="219"/>
        <v>1</v>
      </c>
      <c r="MY31" s="157">
        <f t="shared" si="220"/>
        <v>587.52860986333746</v>
      </c>
      <c r="MZ31" s="157">
        <f t="shared" si="221"/>
        <v>645.54794520547944</v>
      </c>
      <c r="NA31" s="162">
        <f t="shared" si="222"/>
        <v>4740.7193353421417</v>
      </c>
      <c r="NB31" s="157">
        <f t="shared" si="223"/>
        <v>875</v>
      </c>
      <c r="NC31" s="157">
        <f t="shared" si="224"/>
        <v>525</v>
      </c>
      <c r="ND31" s="207">
        <f t="shared" si="51"/>
        <v>350</v>
      </c>
      <c r="NE31" s="207">
        <f t="shared" si="225"/>
        <v>350</v>
      </c>
      <c r="NF31" s="157">
        <f t="shared" si="226"/>
        <v>350</v>
      </c>
      <c r="NG31" s="157">
        <f t="shared" si="52"/>
        <v>525</v>
      </c>
      <c r="NH31" s="157">
        <f t="shared" si="53"/>
        <v>875</v>
      </c>
      <c r="NI31" s="168">
        <f t="shared" si="227"/>
        <v>27.299999999999997</v>
      </c>
      <c r="NJ31" s="168">
        <f t="shared" si="228"/>
        <v>40.950000000000003</v>
      </c>
      <c r="NK31" s="168">
        <f t="shared" si="229"/>
        <v>68.25</v>
      </c>
      <c r="NL31" s="157">
        <f t="shared" si="230"/>
        <v>3865.7193353421417</v>
      </c>
      <c r="NM31" s="168">
        <f t="shared" si="231"/>
        <v>71.323199999999986</v>
      </c>
      <c r="NN31" s="168">
        <f t="shared" si="232"/>
        <v>45.82723156934032</v>
      </c>
      <c r="NO31" s="168">
        <f t="shared" si="233"/>
        <v>369.77610815668709</v>
      </c>
      <c r="NP31" s="168">
        <f t="shared" si="234"/>
        <v>301.52610815668703</v>
      </c>
      <c r="NQ31" s="168">
        <f t="shared" si="235"/>
        <v>490.6237397260274</v>
      </c>
      <c r="NR31" s="157">
        <f t="shared" si="236"/>
        <v>914.39999999999986</v>
      </c>
      <c r="NS31" s="168">
        <f t="shared" si="237"/>
        <v>40.950000000000003</v>
      </c>
      <c r="NT31" s="157">
        <f t="shared" si="238"/>
        <v>6290.0479452054797</v>
      </c>
      <c r="NU31" s="168">
        <f t="shared" si="239"/>
        <v>196.04520000000002</v>
      </c>
      <c r="NV31" s="168">
        <f t="shared" si="240"/>
        <v>121.02480000000001</v>
      </c>
      <c r="NW31" s="181"/>
      <c r="NX31" s="157"/>
      <c r="NY31" s="157"/>
      <c r="NZ31" s="157"/>
      <c r="OA31" s="157"/>
      <c r="OB31" s="157"/>
    </row>
    <row r="32" spans="1:392" ht="13" x14ac:dyDescent="0.3">
      <c r="A32" s="154">
        <v>3.5502283105022832</v>
      </c>
      <c r="B32" s="154">
        <v>-13.5</v>
      </c>
      <c r="C32" s="154">
        <f t="shared" si="241"/>
        <v>-13.5</v>
      </c>
      <c r="D32" s="154">
        <v>983.20000000000016</v>
      </c>
      <c r="E32" s="200">
        <f t="shared" si="242"/>
        <v>14.249275362318841</v>
      </c>
      <c r="F32" s="181">
        <f t="shared" si="54"/>
        <v>3042.9</v>
      </c>
      <c r="G32" s="161">
        <f t="shared" si="258"/>
        <v>69.000000000000014</v>
      </c>
      <c r="H32" s="154">
        <f t="shared" si="55"/>
        <v>3.0428999999999999</v>
      </c>
      <c r="I32" s="161">
        <f t="shared" si="56"/>
        <v>2380.5000000000005</v>
      </c>
      <c r="J32" s="181">
        <f t="shared" si="57"/>
        <v>21</v>
      </c>
      <c r="K32" s="181">
        <f t="shared" si="58"/>
        <v>13.584745762711865</v>
      </c>
      <c r="L32" s="181">
        <f t="shared" si="59"/>
        <v>0</v>
      </c>
      <c r="M32" s="181">
        <f t="shared" si="60"/>
        <v>-13.5</v>
      </c>
      <c r="N32" s="181">
        <f t="shared" si="61"/>
        <v>1.6226415094339632</v>
      </c>
      <c r="O32" s="181">
        <f t="shared" si="62"/>
        <v>1.6226415094339632</v>
      </c>
      <c r="P32" s="181">
        <f t="shared" si="63"/>
        <v>15</v>
      </c>
      <c r="Q32" s="181">
        <f t="shared" si="64"/>
        <v>7.1257861635220143</v>
      </c>
      <c r="R32" s="168">
        <f t="shared" si="65"/>
        <v>60.375000000000014</v>
      </c>
      <c r="S32" s="161">
        <f t="shared" si="66"/>
        <v>380.01156101018267</v>
      </c>
      <c r="T32" s="161">
        <f t="shared" si="67"/>
        <v>82.900124924614474</v>
      </c>
      <c r="U32" s="161">
        <f t="shared" si="68"/>
        <v>73.094558611380606</v>
      </c>
      <c r="V32" s="154">
        <f t="shared" si="69"/>
        <v>0.85079999999999989</v>
      </c>
      <c r="W32" s="154">
        <f t="shared" si="70"/>
        <v>3.6706139276838057</v>
      </c>
      <c r="X32" s="154">
        <f t="shared" si="71"/>
        <v>5.5074139276838059</v>
      </c>
      <c r="Y32" s="154">
        <f t="shared" si="72"/>
        <v>6.1310479452054798</v>
      </c>
      <c r="Z32" s="154">
        <f t="shared" si="73"/>
        <v>2.4426000000000001</v>
      </c>
      <c r="AA32" s="154">
        <f t="shared" si="74"/>
        <v>0.6236340175216738</v>
      </c>
      <c r="AB32" s="154">
        <f t="shared" si="26"/>
        <v>4.5456139276838057</v>
      </c>
      <c r="AC32" s="154">
        <f t="shared" si="27"/>
        <v>0.64554794520547942</v>
      </c>
      <c r="AD32" s="154">
        <f t="shared" si="28"/>
        <v>0.35</v>
      </c>
      <c r="AE32" s="154">
        <f t="shared" si="29"/>
        <v>0.52500000000000002</v>
      </c>
      <c r="AF32" s="154">
        <f t="shared" si="30"/>
        <v>0.875</v>
      </c>
      <c r="AG32" s="154">
        <f t="shared" si="75"/>
        <v>0.96179999999999999</v>
      </c>
      <c r="AH32" s="154">
        <f t="shared" si="76"/>
        <v>1.8368</v>
      </c>
      <c r="AI32" s="154">
        <f t="shared" si="77"/>
        <v>0.58732876712328763</v>
      </c>
      <c r="AJ32" s="154">
        <f t="shared" si="78"/>
        <v>5.8219178082191785E-2</v>
      </c>
      <c r="AK32" s="154">
        <f t="shared" si="79"/>
        <v>0</v>
      </c>
      <c r="AL32" s="161">
        <f t="shared" si="80"/>
        <v>587.32876712328766</v>
      </c>
      <c r="AM32" s="161">
        <f t="shared" si="81"/>
        <v>58.219178082191782</v>
      </c>
      <c r="AN32" s="161">
        <f t="shared" si="82"/>
        <v>0</v>
      </c>
      <c r="AO32" s="161"/>
      <c r="AP32" s="154">
        <f t="shared" si="83"/>
        <v>0.64554794520547942</v>
      </c>
      <c r="AQ32" s="154">
        <f t="shared" si="84"/>
        <v>0.64554794520547942</v>
      </c>
      <c r="AR32" s="154">
        <f t="shared" si="85"/>
        <v>2.6875999999999998</v>
      </c>
      <c r="AS32" s="161"/>
      <c r="AT32" s="161"/>
      <c r="AU32" s="161"/>
      <c r="AV32" s="161"/>
      <c r="AW32" s="181"/>
      <c r="AX32" s="181"/>
      <c r="AY32" s="181"/>
      <c r="AZ32" s="181"/>
      <c r="BA32" s="181"/>
      <c r="BB32" s="161"/>
      <c r="BC32" s="161"/>
      <c r="BD32" s="161"/>
      <c r="BE32" s="181"/>
      <c r="BF32" s="168"/>
      <c r="BG32" s="181"/>
      <c r="BH32" s="168"/>
      <c r="BI32" s="168"/>
      <c r="BJ32" s="161"/>
      <c r="BK32" s="168"/>
      <c r="BL32" s="168"/>
      <c r="BM32" s="168"/>
      <c r="BN32" s="168"/>
      <c r="BO32" s="168">
        <f t="shared" si="86"/>
        <v>40.525684931506852</v>
      </c>
      <c r="BP32" s="168">
        <f t="shared" si="87"/>
        <v>4.0171232876712342</v>
      </c>
      <c r="BQ32" s="168">
        <f t="shared" si="88"/>
        <v>0</v>
      </c>
      <c r="BR32" s="181"/>
      <c r="BS32" s="161"/>
      <c r="BT32" s="168"/>
      <c r="BU32" s="161"/>
      <c r="BV32" s="161"/>
      <c r="BW32" s="161"/>
      <c r="BX32" s="161"/>
      <c r="CB32" s="181">
        <f t="shared" si="89"/>
        <v>13.066606870477802</v>
      </c>
      <c r="CC32" s="181">
        <f t="shared" si="32"/>
        <v>0</v>
      </c>
      <c r="CD32" s="181">
        <f t="shared" si="32"/>
        <v>15.272413923473044</v>
      </c>
      <c r="CE32" s="181">
        <f t="shared" si="32"/>
        <v>0</v>
      </c>
      <c r="CF32" s="181">
        <f t="shared" si="32"/>
        <v>50.802618864480806</v>
      </c>
      <c r="CG32" s="181">
        <f t="shared" si="32"/>
        <v>0</v>
      </c>
      <c r="CH32" s="181">
        <f t="shared" si="32"/>
        <v>15.292377863242294</v>
      </c>
      <c r="CI32" s="181">
        <f t="shared" si="32"/>
        <v>0</v>
      </c>
      <c r="CJ32" s="182">
        <f t="shared" si="90"/>
        <v>94.434017521673937</v>
      </c>
      <c r="CK32" s="161">
        <f t="shared" si="91"/>
        <v>94.434017521673937</v>
      </c>
      <c r="CL32" s="161">
        <f t="shared" si="243"/>
        <v>529.19999999999993</v>
      </c>
      <c r="CM32" s="182">
        <f t="shared" si="92"/>
        <v>623.63401752167385</v>
      </c>
      <c r="CN32" s="157">
        <f t="shared" si="93"/>
        <v>6.5159472089955033</v>
      </c>
      <c r="CO32" s="162">
        <f t="shared" si="94"/>
        <v>623.63401752167385</v>
      </c>
      <c r="FT32" s="168">
        <f t="shared" si="244"/>
        <v>2.5</v>
      </c>
      <c r="FU32" s="161">
        <f t="shared" si="245"/>
        <v>350</v>
      </c>
      <c r="FV32" s="161">
        <f t="shared" si="33"/>
        <v>525</v>
      </c>
      <c r="FW32" s="161">
        <f t="shared" si="95"/>
        <v>875</v>
      </c>
      <c r="FX32" s="161">
        <v>69.000000000000014</v>
      </c>
      <c r="FY32" s="168">
        <f t="shared" si="96"/>
        <v>2.5</v>
      </c>
      <c r="FZ32" s="161">
        <v>350</v>
      </c>
      <c r="GA32" s="161">
        <v>525</v>
      </c>
      <c r="GB32" s="161">
        <v>875</v>
      </c>
      <c r="GC32" s="168">
        <f t="shared" si="246"/>
        <v>0.56785714285714284</v>
      </c>
      <c r="GD32" s="154">
        <f t="shared" si="97"/>
        <v>21</v>
      </c>
      <c r="GE32" s="181">
        <f t="shared" si="98"/>
        <v>13.584745762711865</v>
      </c>
      <c r="GF32" s="181">
        <f t="shared" si="34"/>
        <v>0</v>
      </c>
      <c r="GG32" s="154">
        <f t="shared" si="99"/>
        <v>-13.5</v>
      </c>
      <c r="GH32" s="181">
        <f t="shared" si="100"/>
        <v>1.6226415094339632</v>
      </c>
      <c r="GI32" s="181">
        <f t="shared" si="101"/>
        <v>15.380503144654091</v>
      </c>
      <c r="GJ32" s="181">
        <f t="shared" si="102"/>
        <v>15.380503144654091</v>
      </c>
      <c r="GK32" s="181">
        <f t="shared" si="103"/>
        <v>0</v>
      </c>
      <c r="GL32" s="157">
        <f t="shared" si="104"/>
        <v>961.8</v>
      </c>
      <c r="GM32" s="157">
        <f t="shared" si="105"/>
        <v>2442.6</v>
      </c>
      <c r="GN32" s="157">
        <f t="shared" si="106"/>
        <v>0</v>
      </c>
      <c r="GO32" s="157">
        <f t="shared" si="107"/>
        <v>1480.8</v>
      </c>
      <c r="GP32" s="157">
        <f t="shared" si="108"/>
        <v>3042.9</v>
      </c>
      <c r="GQ32" s="157">
        <f t="shared" si="109"/>
        <v>623.63401752167385</v>
      </c>
      <c r="GR32" s="157">
        <f t="shared" si="110"/>
        <v>4523.7</v>
      </c>
      <c r="GS32" s="200">
        <f t="shared" si="111"/>
        <v>1</v>
      </c>
      <c r="GT32" s="157">
        <f t="shared" si="112"/>
        <v>623.63401752167385</v>
      </c>
      <c r="GU32" s="157">
        <f t="shared" si="113"/>
        <v>645.54794520547944</v>
      </c>
      <c r="GV32" s="162">
        <f t="shared" si="114"/>
        <v>4545.6139276838057</v>
      </c>
      <c r="GW32" s="157">
        <f t="shared" si="115"/>
        <v>875</v>
      </c>
      <c r="GX32" s="157">
        <f t="shared" si="247"/>
        <v>525</v>
      </c>
      <c r="GY32" s="207">
        <f t="shared" si="35"/>
        <v>350</v>
      </c>
      <c r="GZ32" s="207">
        <f t="shared" si="116"/>
        <v>350</v>
      </c>
      <c r="HA32" s="157">
        <f t="shared" si="117"/>
        <v>350</v>
      </c>
      <c r="HB32" s="157">
        <f t="shared" si="36"/>
        <v>525</v>
      </c>
      <c r="HC32" s="157">
        <f t="shared" si="37"/>
        <v>875</v>
      </c>
      <c r="HD32" s="168">
        <f t="shared" si="38"/>
        <v>24.150000000000002</v>
      </c>
      <c r="HE32" s="168">
        <f t="shared" si="118"/>
        <v>36.225000000000009</v>
      </c>
      <c r="HF32" s="168">
        <f t="shared" si="39"/>
        <v>60.375000000000014</v>
      </c>
      <c r="HG32" s="157">
        <f t="shared" si="119"/>
        <v>3670.6139276838057</v>
      </c>
      <c r="HH32" s="168">
        <f t="shared" si="120"/>
        <v>0</v>
      </c>
      <c r="HI32" s="168">
        <f t="shared" si="121"/>
        <v>43.0307472089955</v>
      </c>
      <c r="HJ32" s="168">
        <f t="shared" si="122"/>
        <v>313.64736101018264</v>
      </c>
      <c r="HK32" s="168">
        <f t="shared" si="123"/>
        <v>253.27236101018264</v>
      </c>
      <c r="HL32" s="168">
        <f t="shared" si="124"/>
        <v>423.04230821917821</v>
      </c>
      <c r="HM32" s="157">
        <f t="shared" si="125"/>
        <v>875.00000000000023</v>
      </c>
      <c r="HN32" s="168">
        <f t="shared" si="126"/>
        <v>36.225000000000009</v>
      </c>
      <c r="HP32" s="168">
        <f t="shared" si="127"/>
        <v>168.53940000000003</v>
      </c>
      <c r="HQ32" s="168">
        <f t="shared" si="128"/>
        <v>102.17520000000002</v>
      </c>
      <c r="HR32" s="181"/>
      <c r="HU32" s="168">
        <f t="shared" si="248"/>
        <v>2.5</v>
      </c>
      <c r="HV32" s="161">
        <f t="shared" si="248"/>
        <v>350</v>
      </c>
      <c r="HW32" s="161">
        <f t="shared" si="40"/>
        <v>525</v>
      </c>
      <c r="HX32" s="161">
        <f t="shared" si="41"/>
        <v>875</v>
      </c>
      <c r="HY32" s="161">
        <v>69.000000000000014</v>
      </c>
      <c r="HZ32" s="168">
        <f t="shared" si="129"/>
        <v>2.5</v>
      </c>
      <c r="IA32" s="161">
        <v>66.501428571428576</v>
      </c>
      <c r="IB32" s="161">
        <v>99.752142857142871</v>
      </c>
      <c r="IC32" s="161">
        <v>166.25357142857143</v>
      </c>
      <c r="ID32" s="168">
        <f t="shared" si="249"/>
        <v>0.56785714285714284</v>
      </c>
      <c r="IE32" s="154">
        <f t="shared" si="130"/>
        <v>21</v>
      </c>
      <c r="IF32" s="154">
        <f t="shared" si="131"/>
        <v>-13.5</v>
      </c>
      <c r="IG32" s="181">
        <f t="shared" si="132"/>
        <v>1.4089285714285715</v>
      </c>
      <c r="IH32" s="181">
        <f t="shared" si="133"/>
        <v>8.3089285714285701</v>
      </c>
      <c r="II32" s="181">
        <f t="shared" si="134"/>
        <v>0</v>
      </c>
      <c r="IJ32" s="181">
        <f t="shared" si="135"/>
        <v>10.922978436657681</v>
      </c>
      <c r="IK32" s="181">
        <f t="shared" si="136"/>
        <v>15</v>
      </c>
      <c r="IL32" s="181">
        <f t="shared" si="250"/>
        <v>0</v>
      </c>
      <c r="IM32" s="181">
        <f t="shared" si="137"/>
        <v>0</v>
      </c>
      <c r="IN32" s="157">
        <f t="shared" si="138"/>
        <v>1387.0478571428571</v>
      </c>
      <c r="IO32" s="157">
        <f t="shared" si="139"/>
        <v>2442.6</v>
      </c>
      <c r="IP32" s="157">
        <f t="shared" si="42"/>
        <v>259.29857142857145</v>
      </c>
      <c r="IQ32" s="157">
        <f t="shared" si="43"/>
        <v>796.25357142857138</v>
      </c>
      <c r="IR32" s="157">
        <f t="shared" si="140"/>
        <v>3042.9</v>
      </c>
      <c r="IS32" s="157">
        <f t="shared" si="141"/>
        <v>623.63401752167385</v>
      </c>
      <c r="IT32" s="157">
        <f t="shared" si="142"/>
        <v>3839.1535714285715</v>
      </c>
      <c r="IU32" s="200">
        <f t="shared" si="143"/>
        <v>1</v>
      </c>
      <c r="IV32" s="157">
        <f t="shared" si="144"/>
        <v>623.63401752167385</v>
      </c>
      <c r="IW32" s="157">
        <f t="shared" si="145"/>
        <v>645.54794520547944</v>
      </c>
      <c r="IX32" s="162">
        <f t="shared" si="146"/>
        <v>4120.3660705409493</v>
      </c>
      <c r="IY32" s="157">
        <f t="shared" si="22"/>
        <v>875</v>
      </c>
      <c r="IZ32" s="157">
        <f t="shared" si="147"/>
        <v>99.752142857142857</v>
      </c>
      <c r="JA32" s="207">
        <f t="shared" si="148"/>
        <v>350</v>
      </c>
      <c r="JB32" s="207">
        <f t="shared" si="149"/>
        <v>66.501428571428576</v>
      </c>
      <c r="JC32" s="157">
        <f t="shared" si="150"/>
        <v>66.501428571428576</v>
      </c>
      <c r="JD32" s="157">
        <f t="shared" si="151"/>
        <v>99.752142857142871</v>
      </c>
      <c r="JE32" s="157">
        <f t="shared" si="152"/>
        <v>166.25357142857143</v>
      </c>
      <c r="JF32" s="168">
        <f t="shared" si="153"/>
        <v>4.5885985714285722</v>
      </c>
      <c r="JG32" s="168">
        <f t="shared" si="154"/>
        <v>6.8828978571428596</v>
      </c>
      <c r="JH32" s="168">
        <f t="shared" si="155"/>
        <v>11.471496428571433</v>
      </c>
      <c r="JI32" s="157">
        <f t="shared" si="156"/>
        <v>3954.1124991123779</v>
      </c>
      <c r="JJ32" s="168">
        <f t="shared" si="157"/>
        <v>17.891601428571434</v>
      </c>
      <c r="JK32" s="168">
        <f t="shared" si="158"/>
        <v>43.0307472089955</v>
      </c>
      <c r="JL32" s="168">
        <f t="shared" si="159"/>
        <v>284.30525886732556</v>
      </c>
      <c r="JM32" s="168">
        <f t="shared" si="160"/>
        <v>272.83376243875415</v>
      </c>
      <c r="JN32" s="168">
        <f t="shared" si="161"/>
        <v>423.04230821917821</v>
      </c>
      <c r="JO32" s="157">
        <f t="shared" si="162"/>
        <v>425.55214285714283</v>
      </c>
      <c r="JP32" s="168">
        <f t="shared" si="163"/>
        <v>6.8828978571428596</v>
      </c>
      <c r="JR32" s="168">
        <f t="shared" si="164"/>
        <v>168.53940000000003</v>
      </c>
      <c r="JS32" s="168">
        <f t="shared" si="165"/>
        <v>72.833097857142874</v>
      </c>
      <c r="JT32" s="181"/>
      <c r="JW32" s="168">
        <f t="shared" ref="JW32:JX32" si="267">JW31</f>
        <v>2.5</v>
      </c>
      <c r="JX32" s="161">
        <f t="shared" si="267"/>
        <v>350</v>
      </c>
      <c r="JY32" s="161">
        <f t="shared" si="44"/>
        <v>525</v>
      </c>
      <c r="JZ32" s="161">
        <f t="shared" si="45"/>
        <v>875</v>
      </c>
      <c r="KA32" s="161">
        <v>69.000000000000014</v>
      </c>
      <c r="KB32" s="168">
        <f t="shared" si="166"/>
        <v>2.5</v>
      </c>
      <c r="KC32" s="161">
        <v>66.501428571428576</v>
      </c>
      <c r="KD32" s="161">
        <v>99.752142857142871</v>
      </c>
      <c r="KE32" s="161">
        <v>166.25357142857143</v>
      </c>
      <c r="KF32" s="168">
        <f t="shared" ref="KF32" si="268">KF31</f>
        <v>0.56785714285714284</v>
      </c>
      <c r="KG32" s="154">
        <f t="shared" si="167"/>
        <v>21</v>
      </c>
      <c r="KH32" s="154">
        <f t="shared" si="168"/>
        <v>-13.5</v>
      </c>
      <c r="KI32" s="181">
        <f t="shared" si="169"/>
        <v>1.4089285714285715</v>
      </c>
      <c r="KJ32" s="181">
        <f t="shared" si="170"/>
        <v>8.3089285714285701</v>
      </c>
      <c r="KK32" s="181">
        <f t="shared" si="171"/>
        <v>0</v>
      </c>
      <c r="KL32" s="181">
        <f t="shared" si="172"/>
        <v>8.3089285714285701</v>
      </c>
      <c r="KM32" s="181">
        <f t="shared" si="173"/>
        <v>15</v>
      </c>
      <c r="KN32" s="181">
        <f t="shared" si="253"/>
        <v>0</v>
      </c>
      <c r="KO32" s="181">
        <f t="shared" si="174"/>
        <v>0</v>
      </c>
      <c r="KP32" s="157">
        <f t="shared" si="175"/>
        <v>1387.0478571428571</v>
      </c>
      <c r="KQ32" s="157">
        <f t="shared" si="46"/>
        <v>2442.6</v>
      </c>
      <c r="KR32" s="157">
        <f t="shared" si="176"/>
        <v>425.55214285714288</v>
      </c>
      <c r="KS32" s="157">
        <f t="shared" si="177"/>
        <v>630</v>
      </c>
      <c r="KT32" s="157">
        <f t="shared" si="178"/>
        <v>3042.9</v>
      </c>
      <c r="KU32" s="157">
        <f t="shared" si="179"/>
        <v>623.63401752167385</v>
      </c>
      <c r="KV32" s="157">
        <f t="shared" si="180"/>
        <v>3672.9</v>
      </c>
      <c r="KW32" s="200">
        <f t="shared" si="181"/>
        <v>1</v>
      </c>
      <c r="KX32" s="157">
        <f t="shared" si="182"/>
        <v>623.63401752167385</v>
      </c>
      <c r="KY32" s="157">
        <f t="shared" si="183"/>
        <v>645.54794520547944</v>
      </c>
      <c r="KZ32" s="162">
        <f t="shared" si="47"/>
        <v>4120.3660705409493</v>
      </c>
      <c r="LA32" s="157">
        <f t="shared" si="184"/>
        <v>875</v>
      </c>
      <c r="LB32" s="157">
        <f t="shared" si="185"/>
        <v>99.752142857142857</v>
      </c>
      <c r="LC32" s="207">
        <f t="shared" si="186"/>
        <v>350</v>
      </c>
      <c r="LD32" s="207">
        <f t="shared" si="187"/>
        <v>66.501428571428576</v>
      </c>
      <c r="LE32" s="157">
        <f t="shared" si="188"/>
        <v>66.501428571428576</v>
      </c>
      <c r="LF32" s="157">
        <f t="shared" si="189"/>
        <v>99.752142857142871</v>
      </c>
      <c r="LG32" s="157">
        <f t="shared" si="190"/>
        <v>166.25357142857143</v>
      </c>
      <c r="LH32" s="168">
        <f t="shared" si="191"/>
        <v>4.5885985714285722</v>
      </c>
      <c r="LI32" s="168">
        <f t="shared" si="192"/>
        <v>6.8828978571428596</v>
      </c>
      <c r="LJ32" s="168">
        <f t="shared" si="193"/>
        <v>11.471496428571433</v>
      </c>
      <c r="LK32" s="157">
        <f t="shared" si="194"/>
        <v>3954.1124991123779</v>
      </c>
      <c r="LL32" s="168">
        <f t="shared" si="195"/>
        <v>29.363097857142865</v>
      </c>
      <c r="LM32" s="168">
        <f t="shared" si="196"/>
        <v>43.0307472089955</v>
      </c>
      <c r="LN32" s="168">
        <f t="shared" si="197"/>
        <v>284.30525886732556</v>
      </c>
      <c r="LO32" s="168">
        <f t="shared" si="198"/>
        <v>272.83376243875415</v>
      </c>
      <c r="LP32" s="168">
        <f t="shared" si="199"/>
        <v>423.04230821917821</v>
      </c>
      <c r="LQ32" s="157">
        <f t="shared" si="200"/>
        <v>425.55214285714283</v>
      </c>
      <c r="LR32" s="168">
        <f t="shared" si="201"/>
        <v>6.8828978571428596</v>
      </c>
      <c r="LT32" s="168">
        <f t="shared" si="202"/>
        <v>168.53940000000003</v>
      </c>
      <c r="LU32" s="168">
        <f t="shared" si="203"/>
        <v>72.833097857142874</v>
      </c>
      <c r="LV32" s="181"/>
      <c r="LY32" s="168">
        <f t="shared" si="254"/>
        <v>2.5</v>
      </c>
      <c r="LZ32" s="161">
        <f t="shared" si="254"/>
        <v>350</v>
      </c>
      <c r="MA32" s="161">
        <f t="shared" si="48"/>
        <v>525</v>
      </c>
      <c r="MB32" s="161">
        <f t="shared" si="49"/>
        <v>875</v>
      </c>
      <c r="MC32" s="161">
        <v>69.000000000000014</v>
      </c>
      <c r="MD32" s="168">
        <f t="shared" si="204"/>
        <v>2.5</v>
      </c>
      <c r="ME32" s="161">
        <v>350</v>
      </c>
      <c r="MF32" s="161">
        <v>525</v>
      </c>
      <c r="MG32" s="161">
        <v>875</v>
      </c>
      <c r="MH32" s="168">
        <f t="shared" si="255"/>
        <v>0.56785714285714284</v>
      </c>
      <c r="MI32" s="154">
        <f t="shared" si="205"/>
        <v>21</v>
      </c>
      <c r="MJ32" s="181">
        <f t="shared" si="206"/>
        <v>13.584745762711865</v>
      </c>
      <c r="MK32" s="181">
        <f t="shared" si="207"/>
        <v>0</v>
      </c>
      <c r="ML32" s="154">
        <f t="shared" si="208"/>
        <v>-13.5</v>
      </c>
      <c r="MM32" s="181">
        <f t="shared" si="209"/>
        <v>1.6226415094339632</v>
      </c>
      <c r="MN32" s="181">
        <f t="shared" si="210"/>
        <v>1.6226415094339632</v>
      </c>
      <c r="MO32" s="181">
        <f t="shared" si="211"/>
        <v>15</v>
      </c>
      <c r="MP32" s="181">
        <f t="shared" si="212"/>
        <v>0</v>
      </c>
      <c r="MQ32" s="157">
        <f t="shared" si="50"/>
        <v>961.8</v>
      </c>
      <c r="MR32" s="157">
        <f t="shared" si="213"/>
        <v>2442.6</v>
      </c>
      <c r="MS32" s="157">
        <f t="shared" si="214"/>
        <v>850.79999999999984</v>
      </c>
      <c r="MT32" s="157">
        <f t="shared" si="215"/>
        <v>630.00000000000011</v>
      </c>
      <c r="MU32" s="157">
        <f t="shared" si="216"/>
        <v>3042.9</v>
      </c>
      <c r="MV32" s="157">
        <f t="shared" si="217"/>
        <v>623.63401752167385</v>
      </c>
      <c r="MW32" s="157">
        <f t="shared" si="218"/>
        <v>3672.9</v>
      </c>
      <c r="MX32" s="200">
        <f t="shared" si="219"/>
        <v>1</v>
      </c>
      <c r="MY32" s="157">
        <f t="shared" si="220"/>
        <v>623.63401752167385</v>
      </c>
      <c r="MZ32" s="157">
        <f t="shared" si="221"/>
        <v>645.54794520547944</v>
      </c>
      <c r="NA32" s="162">
        <f t="shared" si="222"/>
        <v>4545.6139276838057</v>
      </c>
      <c r="NB32" s="157">
        <f t="shared" si="223"/>
        <v>875</v>
      </c>
      <c r="NC32" s="157">
        <f t="shared" si="224"/>
        <v>525</v>
      </c>
      <c r="ND32" s="207">
        <f t="shared" si="51"/>
        <v>350</v>
      </c>
      <c r="NE32" s="207">
        <f t="shared" si="225"/>
        <v>350</v>
      </c>
      <c r="NF32" s="157">
        <f t="shared" si="226"/>
        <v>350</v>
      </c>
      <c r="NG32" s="157">
        <f t="shared" si="52"/>
        <v>525</v>
      </c>
      <c r="NH32" s="157">
        <f t="shared" si="53"/>
        <v>875</v>
      </c>
      <c r="NI32" s="168">
        <f t="shared" si="227"/>
        <v>24.150000000000002</v>
      </c>
      <c r="NJ32" s="168">
        <f t="shared" si="228"/>
        <v>36.225000000000009</v>
      </c>
      <c r="NK32" s="168">
        <f t="shared" si="229"/>
        <v>60.375000000000014</v>
      </c>
      <c r="NL32" s="157">
        <f t="shared" si="230"/>
        <v>3670.6139276838057</v>
      </c>
      <c r="NM32" s="168">
        <f t="shared" si="231"/>
        <v>58.705200000000005</v>
      </c>
      <c r="NN32" s="168">
        <f t="shared" si="232"/>
        <v>43.0307472089955</v>
      </c>
      <c r="NO32" s="168">
        <f t="shared" si="233"/>
        <v>313.64736101018264</v>
      </c>
      <c r="NP32" s="168">
        <f t="shared" si="234"/>
        <v>253.27236101018264</v>
      </c>
      <c r="NQ32" s="168">
        <f t="shared" si="235"/>
        <v>423.04230821917821</v>
      </c>
      <c r="NR32" s="157">
        <f t="shared" si="236"/>
        <v>850.8</v>
      </c>
      <c r="NS32" s="168">
        <f t="shared" si="237"/>
        <v>36.225000000000009</v>
      </c>
      <c r="NT32" s="157">
        <f t="shared" si="238"/>
        <v>6131.0479452054797</v>
      </c>
      <c r="NU32" s="168">
        <f t="shared" si="239"/>
        <v>168.53940000000003</v>
      </c>
      <c r="NV32" s="168">
        <f t="shared" si="240"/>
        <v>102.17520000000002</v>
      </c>
      <c r="NW32" s="181"/>
      <c r="NX32" s="157"/>
      <c r="NY32" s="157"/>
      <c r="NZ32" s="157"/>
      <c r="OA32" s="157"/>
      <c r="OB32" s="157"/>
    </row>
    <row r="33" spans="1:392" ht="13" x14ac:dyDescent="0.3">
      <c r="A33" s="154">
        <v>4.3493150684931505</v>
      </c>
      <c r="B33" s="154">
        <v>-12.5</v>
      </c>
      <c r="C33" s="154">
        <f t="shared" si="241"/>
        <v>-12.5</v>
      </c>
      <c r="D33" s="154">
        <v>1307.4999999999998</v>
      </c>
      <c r="E33" s="200">
        <f t="shared" si="242"/>
        <v>18.678571428571431</v>
      </c>
      <c r="F33" s="181">
        <f t="shared" si="54"/>
        <v>2954.7000000000003</v>
      </c>
      <c r="G33" s="161">
        <f t="shared" si="258"/>
        <v>69.999999999999986</v>
      </c>
      <c r="H33" s="154">
        <f t="shared" si="55"/>
        <v>2.9547000000000003</v>
      </c>
      <c r="I33" s="161">
        <f t="shared" si="56"/>
        <v>2344.9999999999995</v>
      </c>
      <c r="J33" s="181">
        <f t="shared" si="57"/>
        <v>21</v>
      </c>
      <c r="K33" s="181">
        <f t="shared" si="58"/>
        <v>13.584745762711865</v>
      </c>
      <c r="L33" s="181">
        <f t="shared" si="59"/>
        <v>0</v>
      </c>
      <c r="M33" s="181">
        <f t="shared" si="60"/>
        <v>-12.5</v>
      </c>
      <c r="N33" s="181">
        <f t="shared" si="61"/>
        <v>2.6226415094339632</v>
      </c>
      <c r="O33" s="181">
        <f t="shared" si="62"/>
        <v>2.6226415094339632</v>
      </c>
      <c r="P33" s="181">
        <f t="shared" si="63"/>
        <v>15</v>
      </c>
      <c r="Q33" s="181">
        <f t="shared" si="64"/>
        <v>8.1257861635220152</v>
      </c>
      <c r="R33" s="168">
        <f t="shared" si="65"/>
        <v>61.249999999999986</v>
      </c>
      <c r="S33" s="161">
        <f t="shared" si="66"/>
        <v>372.33418023297423</v>
      </c>
      <c r="T33" s="161">
        <f t="shared" si="67"/>
        <v>81.400124924614474</v>
      </c>
      <c r="U33" s="161">
        <f t="shared" si="68"/>
        <v>71.133014427891823</v>
      </c>
      <c r="V33" s="154">
        <f t="shared" si="69"/>
        <v>0.78719999999999979</v>
      </c>
      <c r="W33" s="154">
        <f t="shared" si="70"/>
        <v>3.4822597176139185</v>
      </c>
      <c r="X33" s="154">
        <f t="shared" si="71"/>
        <v>5.3190597176139187</v>
      </c>
      <c r="Y33" s="154">
        <f t="shared" si="72"/>
        <v>5.97204794520548</v>
      </c>
      <c r="Z33" s="154">
        <f t="shared" si="73"/>
        <v>2.3717999999999999</v>
      </c>
      <c r="AA33" s="154">
        <f t="shared" si="74"/>
        <v>0.65298822759156128</v>
      </c>
      <c r="AB33" s="154">
        <f t="shared" si="26"/>
        <v>4.3572597176139176</v>
      </c>
      <c r="AC33" s="154">
        <f t="shared" si="27"/>
        <v>0.64554794520547942</v>
      </c>
      <c r="AD33" s="154">
        <f t="shared" si="28"/>
        <v>0.35</v>
      </c>
      <c r="AE33" s="154">
        <f t="shared" si="29"/>
        <v>0.52500000000000002</v>
      </c>
      <c r="AF33" s="154">
        <f t="shared" si="30"/>
        <v>0.875</v>
      </c>
      <c r="AG33" s="154">
        <f t="shared" si="75"/>
        <v>0.96179999999999999</v>
      </c>
      <c r="AH33" s="154">
        <f t="shared" si="76"/>
        <v>1.8368</v>
      </c>
      <c r="AI33" s="154">
        <f t="shared" si="77"/>
        <v>0.58732876712328763</v>
      </c>
      <c r="AJ33" s="154">
        <f t="shared" si="78"/>
        <v>5.8219178082191785E-2</v>
      </c>
      <c r="AK33" s="154">
        <f t="shared" si="79"/>
        <v>0</v>
      </c>
      <c r="AL33" s="161">
        <f t="shared" si="80"/>
        <v>587.32876712328766</v>
      </c>
      <c r="AM33" s="161">
        <f t="shared" si="81"/>
        <v>58.219178082191782</v>
      </c>
      <c r="AN33" s="161">
        <f t="shared" si="82"/>
        <v>0</v>
      </c>
      <c r="AO33" s="161"/>
      <c r="AP33" s="154">
        <f t="shared" si="83"/>
        <v>0.64554794520547942</v>
      </c>
      <c r="AQ33" s="154">
        <f t="shared" si="84"/>
        <v>0.64554794520547942</v>
      </c>
      <c r="AR33" s="154">
        <f t="shared" si="85"/>
        <v>2.6239999999999997</v>
      </c>
      <c r="AS33" s="161"/>
      <c r="AT33" s="161"/>
      <c r="AU33" s="161"/>
      <c r="AV33" s="161"/>
      <c r="AW33" s="181"/>
      <c r="AX33" s="181"/>
      <c r="AY33" s="181"/>
      <c r="AZ33" s="181"/>
      <c r="BA33" s="181"/>
      <c r="BB33" s="161"/>
      <c r="BC33" s="161"/>
      <c r="BD33" s="161"/>
      <c r="BE33" s="181"/>
      <c r="BF33" s="168"/>
      <c r="BG33" s="181"/>
      <c r="BH33" s="168"/>
      <c r="BI33" s="168"/>
      <c r="BJ33" s="161"/>
      <c r="BK33" s="168"/>
      <c r="BL33" s="168"/>
      <c r="BM33" s="168"/>
      <c r="BN33" s="168"/>
      <c r="BO33" s="168">
        <f t="shared" si="86"/>
        <v>41.113013698630127</v>
      </c>
      <c r="BP33" s="168">
        <f t="shared" si="87"/>
        <v>4.0753424657534243</v>
      </c>
      <c r="BQ33" s="168">
        <f t="shared" si="88"/>
        <v>0</v>
      </c>
      <c r="BR33" s="181"/>
      <c r="BS33" s="161"/>
      <c r="BT33" s="168"/>
      <c r="BU33" s="161"/>
      <c r="BV33" s="161"/>
      <c r="BW33" s="161"/>
      <c r="BX33" s="161"/>
      <c r="CB33" s="181">
        <f t="shared" si="89"/>
        <v>17.128278003855215</v>
      </c>
      <c r="CC33" s="181">
        <f t="shared" si="32"/>
        <v>0</v>
      </c>
      <c r="CD33" s="181">
        <f t="shared" si="32"/>
        <v>20.019746064467768</v>
      </c>
      <c r="CE33" s="181">
        <f t="shared" si="32"/>
        <v>0</v>
      </c>
      <c r="CF33" s="181">
        <f t="shared" si="32"/>
        <v>66.594287856071972</v>
      </c>
      <c r="CG33" s="181">
        <f t="shared" si="32"/>
        <v>0</v>
      </c>
      <c r="CH33" s="181">
        <f t="shared" si="32"/>
        <v>20.045915667166419</v>
      </c>
      <c r="CI33" s="181">
        <f t="shared" si="32"/>
        <v>0</v>
      </c>
      <c r="CJ33" s="182">
        <f t="shared" si="90"/>
        <v>123.78822759156137</v>
      </c>
      <c r="CK33" s="161">
        <f t="shared" si="91"/>
        <v>123.78822759156135</v>
      </c>
      <c r="CL33" s="161">
        <f t="shared" si="243"/>
        <v>529.19999999999993</v>
      </c>
      <c r="CM33" s="182">
        <f t="shared" si="92"/>
        <v>652.98822759156133</v>
      </c>
      <c r="CN33" s="157">
        <f t="shared" si="93"/>
        <v>8.6651759314092942</v>
      </c>
      <c r="CO33" s="162">
        <f t="shared" si="94"/>
        <v>652.98822759156133</v>
      </c>
      <c r="FT33" s="168">
        <f t="shared" si="244"/>
        <v>2.5</v>
      </c>
      <c r="FU33" s="161">
        <f t="shared" si="245"/>
        <v>350</v>
      </c>
      <c r="FV33" s="161">
        <f t="shared" si="33"/>
        <v>525</v>
      </c>
      <c r="FW33" s="161">
        <f t="shared" si="95"/>
        <v>875</v>
      </c>
      <c r="FX33" s="161">
        <v>69.999999999999986</v>
      </c>
      <c r="FY33" s="168">
        <f t="shared" si="96"/>
        <v>2.5</v>
      </c>
      <c r="FZ33" s="161">
        <v>350</v>
      </c>
      <c r="GA33" s="161">
        <v>525</v>
      </c>
      <c r="GB33" s="161">
        <v>875</v>
      </c>
      <c r="GC33" s="168">
        <f t="shared" si="246"/>
        <v>0.56785714285714284</v>
      </c>
      <c r="GD33" s="154">
        <f t="shared" si="97"/>
        <v>21</v>
      </c>
      <c r="GE33" s="181">
        <f t="shared" si="98"/>
        <v>13.584745762711865</v>
      </c>
      <c r="GF33" s="181">
        <f t="shared" si="34"/>
        <v>0</v>
      </c>
      <c r="GG33" s="154">
        <f t="shared" si="99"/>
        <v>-12.5</v>
      </c>
      <c r="GH33" s="181">
        <f t="shared" si="100"/>
        <v>2.6226415094339632</v>
      </c>
      <c r="GI33" s="181">
        <f t="shared" si="101"/>
        <v>16.380503144654092</v>
      </c>
      <c r="GJ33" s="181">
        <f t="shared" si="102"/>
        <v>16.380503144654092</v>
      </c>
      <c r="GK33" s="181">
        <f t="shared" si="103"/>
        <v>0</v>
      </c>
      <c r="GL33" s="157">
        <f t="shared" si="104"/>
        <v>961.8</v>
      </c>
      <c r="GM33" s="157">
        <f t="shared" si="105"/>
        <v>2371.7999999999997</v>
      </c>
      <c r="GN33" s="157">
        <f t="shared" si="106"/>
        <v>0</v>
      </c>
      <c r="GO33" s="157">
        <f t="shared" si="107"/>
        <v>1409.9999999999998</v>
      </c>
      <c r="GP33" s="157">
        <f t="shared" si="108"/>
        <v>2954.7000000000003</v>
      </c>
      <c r="GQ33" s="157">
        <f t="shared" si="109"/>
        <v>652.98822759156133</v>
      </c>
      <c r="GR33" s="157">
        <f t="shared" si="110"/>
        <v>4364.7</v>
      </c>
      <c r="GS33" s="200">
        <f t="shared" si="111"/>
        <v>1</v>
      </c>
      <c r="GT33" s="157">
        <f t="shared" si="112"/>
        <v>652.98822759156133</v>
      </c>
      <c r="GU33" s="157">
        <f t="shared" si="113"/>
        <v>645.54794520547944</v>
      </c>
      <c r="GV33" s="162">
        <f t="shared" si="114"/>
        <v>4357.2597176139179</v>
      </c>
      <c r="GW33" s="157">
        <f t="shared" si="115"/>
        <v>875</v>
      </c>
      <c r="GX33" s="157">
        <f t="shared" si="247"/>
        <v>525</v>
      </c>
      <c r="GY33" s="207">
        <f t="shared" si="35"/>
        <v>350</v>
      </c>
      <c r="GZ33" s="207">
        <f t="shared" si="116"/>
        <v>350</v>
      </c>
      <c r="HA33" s="157">
        <f t="shared" si="117"/>
        <v>350</v>
      </c>
      <c r="HB33" s="157">
        <f t="shared" si="36"/>
        <v>525</v>
      </c>
      <c r="HC33" s="157">
        <f t="shared" si="37"/>
        <v>875</v>
      </c>
      <c r="HD33" s="168">
        <f t="shared" si="38"/>
        <v>24.499999999999993</v>
      </c>
      <c r="HE33" s="168">
        <f t="shared" si="118"/>
        <v>36.749999999999993</v>
      </c>
      <c r="HF33" s="168">
        <f t="shared" si="39"/>
        <v>61.249999999999986</v>
      </c>
      <c r="HG33" s="157">
        <f t="shared" si="119"/>
        <v>3482.2597176139179</v>
      </c>
      <c r="HH33" s="168">
        <f t="shared" si="120"/>
        <v>0</v>
      </c>
      <c r="HI33" s="168">
        <f t="shared" si="121"/>
        <v>45.709175931409277</v>
      </c>
      <c r="HJ33" s="168">
        <f t="shared" si="122"/>
        <v>305.00818023297415</v>
      </c>
      <c r="HK33" s="168">
        <f t="shared" si="123"/>
        <v>243.75818023297421</v>
      </c>
      <c r="HL33" s="168">
        <f t="shared" si="124"/>
        <v>418.04335616438351</v>
      </c>
      <c r="HM33" s="157">
        <f t="shared" si="125"/>
        <v>875.00000000000023</v>
      </c>
      <c r="HN33" s="168">
        <f t="shared" si="126"/>
        <v>36.749999999999993</v>
      </c>
      <c r="HP33" s="168">
        <f t="shared" si="127"/>
        <v>166.02599999999995</v>
      </c>
      <c r="HQ33" s="168">
        <f t="shared" si="128"/>
        <v>98.69999999999996</v>
      </c>
      <c r="HR33" s="181"/>
      <c r="HU33" s="168">
        <f t="shared" si="248"/>
        <v>2.5</v>
      </c>
      <c r="HV33" s="161">
        <f t="shared" si="248"/>
        <v>350</v>
      </c>
      <c r="HW33" s="161">
        <f t="shared" si="40"/>
        <v>525</v>
      </c>
      <c r="HX33" s="161">
        <f t="shared" si="41"/>
        <v>875</v>
      </c>
      <c r="HY33" s="161">
        <v>69.999999999999986</v>
      </c>
      <c r="HZ33" s="168">
        <f t="shared" si="129"/>
        <v>2.5</v>
      </c>
      <c r="IA33" s="161">
        <v>93.304285714285712</v>
      </c>
      <c r="IB33" s="161">
        <v>139.95642857142857</v>
      </c>
      <c r="IC33" s="161">
        <v>233.26071428571427</v>
      </c>
      <c r="ID33" s="168">
        <f t="shared" si="249"/>
        <v>0.56785714285714284</v>
      </c>
      <c r="IE33" s="154">
        <f t="shared" si="130"/>
        <v>21</v>
      </c>
      <c r="IF33" s="154">
        <f t="shared" si="131"/>
        <v>-12.5</v>
      </c>
      <c r="IG33" s="181">
        <f t="shared" si="132"/>
        <v>1.9767857142857146</v>
      </c>
      <c r="IH33" s="181">
        <f t="shared" si="133"/>
        <v>8.6767857142857139</v>
      </c>
      <c r="II33" s="181">
        <f t="shared" si="134"/>
        <v>2.2204460492503131E-16</v>
      </c>
      <c r="IJ33" s="181">
        <f t="shared" si="135"/>
        <v>12.344407008086254</v>
      </c>
      <c r="IK33" s="181">
        <f t="shared" si="136"/>
        <v>15</v>
      </c>
      <c r="IL33" s="181">
        <f t="shared" si="250"/>
        <v>0</v>
      </c>
      <c r="IM33" s="181">
        <f t="shared" si="137"/>
        <v>0</v>
      </c>
      <c r="IN33" s="157">
        <f t="shared" si="138"/>
        <v>1346.8435714285713</v>
      </c>
      <c r="IO33" s="157">
        <f t="shared" si="139"/>
        <v>2371.7999999999997</v>
      </c>
      <c r="IP33" s="157">
        <f t="shared" si="42"/>
        <v>168.89571428571423</v>
      </c>
      <c r="IQ33" s="157">
        <f t="shared" si="43"/>
        <v>856.0607142857142</v>
      </c>
      <c r="IR33" s="157">
        <f t="shared" si="140"/>
        <v>2954.7000000000003</v>
      </c>
      <c r="IS33" s="157">
        <f t="shared" si="141"/>
        <v>652.98822759156133</v>
      </c>
      <c r="IT33" s="157">
        <f t="shared" si="142"/>
        <v>3810.7607142857146</v>
      </c>
      <c r="IU33" s="200">
        <f t="shared" si="143"/>
        <v>1</v>
      </c>
      <c r="IV33" s="157">
        <f t="shared" si="144"/>
        <v>652.98822759156133</v>
      </c>
      <c r="IW33" s="157">
        <f t="shared" si="145"/>
        <v>645.54794520547944</v>
      </c>
      <c r="IX33" s="162">
        <f t="shared" si="146"/>
        <v>3972.2161461853466</v>
      </c>
      <c r="IY33" s="157">
        <f t="shared" si="22"/>
        <v>875</v>
      </c>
      <c r="IZ33" s="157">
        <f t="shared" si="147"/>
        <v>139.95642857142857</v>
      </c>
      <c r="JA33" s="207">
        <f t="shared" si="148"/>
        <v>350</v>
      </c>
      <c r="JB33" s="207">
        <f t="shared" si="149"/>
        <v>93.304285714285712</v>
      </c>
      <c r="JC33" s="157">
        <f t="shared" si="150"/>
        <v>93.304285714285712</v>
      </c>
      <c r="JD33" s="157">
        <f t="shared" si="151"/>
        <v>139.95642857142857</v>
      </c>
      <c r="JE33" s="157">
        <f t="shared" si="152"/>
        <v>233.26071428571427</v>
      </c>
      <c r="JF33" s="168">
        <f t="shared" si="153"/>
        <v>6.531299999999999</v>
      </c>
      <c r="JG33" s="168">
        <f t="shared" si="154"/>
        <v>9.7969499999999972</v>
      </c>
      <c r="JH33" s="168">
        <f t="shared" si="155"/>
        <v>16.328249999999997</v>
      </c>
      <c r="JI33" s="157">
        <f t="shared" si="156"/>
        <v>3738.9554318996325</v>
      </c>
      <c r="JJ33" s="168">
        <f t="shared" si="157"/>
        <v>11.822699999999994</v>
      </c>
      <c r="JK33" s="168">
        <f t="shared" si="158"/>
        <v>45.709175931409277</v>
      </c>
      <c r="JL33" s="168">
        <f t="shared" si="159"/>
        <v>278.05513023297419</v>
      </c>
      <c r="JM33" s="168">
        <f t="shared" si="160"/>
        <v>261.72688023297422</v>
      </c>
      <c r="JN33" s="168">
        <f t="shared" si="161"/>
        <v>418.04335616438351</v>
      </c>
      <c r="JO33" s="157">
        <f t="shared" si="162"/>
        <v>402.15642857142848</v>
      </c>
      <c r="JP33" s="168">
        <f t="shared" si="163"/>
        <v>9.7969499999999972</v>
      </c>
      <c r="JR33" s="168">
        <f t="shared" si="164"/>
        <v>166.02599999999995</v>
      </c>
      <c r="JS33" s="168">
        <f t="shared" si="165"/>
        <v>71.74694999999997</v>
      </c>
      <c r="JT33" s="181"/>
      <c r="JW33" s="168">
        <f t="shared" ref="JW33:JX33" si="269">JW32</f>
        <v>2.5</v>
      </c>
      <c r="JX33" s="161">
        <f t="shared" si="269"/>
        <v>350</v>
      </c>
      <c r="JY33" s="161">
        <f t="shared" si="44"/>
        <v>525</v>
      </c>
      <c r="JZ33" s="161">
        <f t="shared" si="45"/>
        <v>875</v>
      </c>
      <c r="KA33" s="161">
        <v>69.999999999999986</v>
      </c>
      <c r="KB33" s="168">
        <f t="shared" si="166"/>
        <v>2.5</v>
      </c>
      <c r="KC33" s="161">
        <v>93.304285714285712</v>
      </c>
      <c r="KD33" s="161">
        <v>139.95642857142857</v>
      </c>
      <c r="KE33" s="161">
        <v>233.26071428571427</v>
      </c>
      <c r="KF33" s="168">
        <f t="shared" ref="KF33" si="270">KF32</f>
        <v>0.56785714285714284</v>
      </c>
      <c r="KG33" s="154">
        <f t="shared" si="167"/>
        <v>21</v>
      </c>
      <c r="KH33" s="154">
        <f t="shared" si="168"/>
        <v>-12.5</v>
      </c>
      <c r="KI33" s="181">
        <f t="shared" si="169"/>
        <v>1.9767857142857146</v>
      </c>
      <c r="KJ33" s="181">
        <f t="shared" si="170"/>
        <v>8.6767857142857139</v>
      </c>
      <c r="KK33" s="181">
        <f t="shared" si="171"/>
        <v>2.2204460492503131E-16</v>
      </c>
      <c r="KL33" s="181">
        <f t="shared" si="172"/>
        <v>8.6767857142857139</v>
      </c>
      <c r="KM33" s="181">
        <f t="shared" si="173"/>
        <v>15</v>
      </c>
      <c r="KN33" s="181">
        <f t="shared" si="253"/>
        <v>0</v>
      </c>
      <c r="KO33" s="181">
        <f t="shared" si="174"/>
        <v>0</v>
      </c>
      <c r="KP33" s="157">
        <f t="shared" si="175"/>
        <v>1346.8435714285713</v>
      </c>
      <c r="KQ33" s="157">
        <f t="shared" si="46"/>
        <v>2371.7999999999997</v>
      </c>
      <c r="KR33" s="157">
        <f t="shared" si="176"/>
        <v>402.15642857142853</v>
      </c>
      <c r="KS33" s="157">
        <f t="shared" si="177"/>
        <v>622.79999999999995</v>
      </c>
      <c r="KT33" s="157">
        <f t="shared" si="178"/>
        <v>2954.7000000000003</v>
      </c>
      <c r="KU33" s="157">
        <f t="shared" si="179"/>
        <v>652.98822759156133</v>
      </c>
      <c r="KV33" s="157">
        <f t="shared" si="180"/>
        <v>3577.5</v>
      </c>
      <c r="KW33" s="200">
        <f t="shared" si="181"/>
        <v>1</v>
      </c>
      <c r="KX33" s="157">
        <f t="shared" si="182"/>
        <v>652.98822759156133</v>
      </c>
      <c r="KY33" s="157">
        <f t="shared" si="183"/>
        <v>645.54794520547944</v>
      </c>
      <c r="KZ33" s="162">
        <f t="shared" si="47"/>
        <v>3972.2161461853466</v>
      </c>
      <c r="LA33" s="157">
        <f t="shared" si="184"/>
        <v>875</v>
      </c>
      <c r="LB33" s="157">
        <f t="shared" si="185"/>
        <v>139.95642857142857</v>
      </c>
      <c r="LC33" s="207">
        <f t="shared" si="186"/>
        <v>350</v>
      </c>
      <c r="LD33" s="207">
        <f t="shared" si="187"/>
        <v>93.304285714285712</v>
      </c>
      <c r="LE33" s="157">
        <f t="shared" si="188"/>
        <v>93.304285714285712</v>
      </c>
      <c r="LF33" s="157">
        <f t="shared" si="189"/>
        <v>139.95642857142857</v>
      </c>
      <c r="LG33" s="157">
        <f t="shared" si="190"/>
        <v>233.26071428571427</v>
      </c>
      <c r="LH33" s="168">
        <f t="shared" si="191"/>
        <v>6.531299999999999</v>
      </c>
      <c r="LI33" s="168">
        <f t="shared" si="192"/>
        <v>9.7969499999999972</v>
      </c>
      <c r="LJ33" s="168">
        <f t="shared" si="193"/>
        <v>16.328249999999997</v>
      </c>
      <c r="LK33" s="157">
        <f t="shared" si="194"/>
        <v>3738.9554318996325</v>
      </c>
      <c r="LL33" s="168">
        <f t="shared" si="195"/>
        <v>28.150949999999991</v>
      </c>
      <c r="LM33" s="168">
        <f t="shared" si="196"/>
        <v>45.709175931409277</v>
      </c>
      <c r="LN33" s="168">
        <f t="shared" si="197"/>
        <v>278.05513023297419</v>
      </c>
      <c r="LO33" s="168">
        <f t="shared" si="198"/>
        <v>261.72688023297422</v>
      </c>
      <c r="LP33" s="168">
        <f t="shared" si="199"/>
        <v>418.04335616438351</v>
      </c>
      <c r="LQ33" s="157">
        <f t="shared" si="200"/>
        <v>402.15642857142848</v>
      </c>
      <c r="LR33" s="168">
        <f t="shared" si="201"/>
        <v>9.7969499999999972</v>
      </c>
      <c r="LT33" s="168">
        <f t="shared" si="202"/>
        <v>166.02599999999995</v>
      </c>
      <c r="LU33" s="168">
        <f t="shared" si="203"/>
        <v>71.74694999999997</v>
      </c>
      <c r="LV33" s="181"/>
      <c r="LY33" s="168">
        <f t="shared" si="254"/>
        <v>2.5</v>
      </c>
      <c r="LZ33" s="161">
        <f t="shared" si="254"/>
        <v>350</v>
      </c>
      <c r="MA33" s="161">
        <f t="shared" si="48"/>
        <v>525</v>
      </c>
      <c r="MB33" s="161">
        <f t="shared" si="49"/>
        <v>875</v>
      </c>
      <c r="MC33" s="161">
        <v>69.999999999999986</v>
      </c>
      <c r="MD33" s="168">
        <f t="shared" si="204"/>
        <v>2.5</v>
      </c>
      <c r="ME33" s="161">
        <v>350</v>
      </c>
      <c r="MF33" s="161">
        <v>525</v>
      </c>
      <c r="MG33" s="161">
        <v>875</v>
      </c>
      <c r="MH33" s="168">
        <f t="shared" si="255"/>
        <v>0.56785714285714284</v>
      </c>
      <c r="MI33" s="154">
        <f t="shared" si="205"/>
        <v>21</v>
      </c>
      <c r="MJ33" s="181">
        <f t="shared" si="206"/>
        <v>13.584745762711865</v>
      </c>
      <c r="MK33" s="181">
        <f t="shared" si="207"/>
        <v>0</v>
      </c>
      <c r="ML33" s="154">
        <f t="shared" si="208"/>
        <v>-12.5</v>
      </c>
      <c r="MM33" s="181">
        <f t="shared" si="209"/>
        <v>2.6226415094339632</v>
      </c>
      <c r="MN33" s="181">
        <f t="shared" si="210"/>
        <v>2.6226415094339632</v>
      </c>
      <c r="MO33" s="181">
        <f t="shared" si="211"/>
        <v>15</v>
      </c>
      <c r="MP33" s="181">
        <f t="shared" si="212"/>
        <v>0</v>
      </c>
      <c r="MQ33" s="157">
        <f t="shared" si="50"/>
        <v>961.8</v>
      </c>
      <c r="MR33" s="157">
        <f t="shared" si="213"/>
        <v>2371.7999999999997</v>
      </c>
      <c r="MS33" s="157">
        <f t="shared" si="214"/>
        <v>787.19999999999982</v>
      </c>
      <c r="MT33" s="157">
        <f t="shared" si="215"/>
        <v>622.79999999999995</v>
      </c>
      <c r="MU33" s="157">
        <f t="shared" si="216"/>
        <v>2954.7000000000003</v>
      </c>
      <c r="MV33" s="157">
        <f t="shared" si="217"/>
        <v>652.98822759156133</v>
      </c>
      <c r="MW33" s="157">
        <f t="shared" si="218"/>
        <v>3577.5</v>
      </c>
      <c r="MX33" s="200">
        <f t="shared" si="219"/>
        <v>1</v>
      </c>
      <c r="MY33" s="157">
        <f t="shared" si="220"/>
        <v>652.98822759156133</v>
      </c>
      <c r="MZ33" s="157">
        <f t="shared" si="221"/>
        <v>645.54794520547944</v>
      </c>
      <c r="NA33" s="162">
        <f t="shared" si="222"/>
        <v>4357.2597176139179</v>
      </c>
      <c r="NB33" s="157">
        <f t="shared" si="223"/>
        <v>875</v>
      </c>
      <c r="NC33" s="157">
        <f t="shared" si="224"/>
        <v>525</v>
      </c>
      <c r="ND33" s="207">
        <f t="shared" si="51"/>
        <v>350</v>
      </c>
      <c r="NE33" s="207">
        <f t="shared" si="225"/>
        <v>350</v>
      </c>
      <c r="NF33" s="157">
        <f t="shared" si="226"/>
        <v>350</v>
      </c>
      <c r="NG33" s="157">
        <f t="shared" si="52"/>
        <v>525</v>
      </c>
      <c r="NH33" s="157">
        <f t="shared" si="53"/>
        <v>875</v>
      </c>
      <c r="NI33" s="168">
        <f t="shared" si="227"/>
        <v>24.499999999999993</v>
      </c>
      <c r="NJ33" s="168">
        <f t="shared" si="228"/>
        <v>36.749999999999993</v>
      </c>
      <c r="NK33" s="168">
        <f t="shared" si="229"/>
        <v>61.249999999999986</v>
      </c>
      <c r="NL33" s="157">
        <f t="shared" si="230"/>
        <v>3482.2597176139179</v>
      </c>
      <c r="NM33" s="168">
        <f t="shared" si="231"/>
        <v>55.103999999999971</v>
      </c>
      <c r="NN33" s="168">
        <f t="shared" si="232"/>
        <v>45.709175931409277</v>
      </c>
      <c r="NO33" s="168">
        <f t="shared" si="233"/>
        <v>305.00818023297415</v>
      </c>
      <c r="NP33" s="168">
        <f t="shared" si="234"/>
        <v>243.75818023297421</v>
      </c>
      <c r="NQ33" s="168">
        <f t="shared" si="235"/>
        <v>418.04335616438351</v>
      </c>
      <c r="NR33" s="157">
        <f t="shared" si="236"/>
        <v>787.19999999999982</v>
      </c>
      <c r="NS33" s="168">
        <f t="shared" si="237"/>
        <v>36.749999999999993</v>
      </c>
      <c r="NT33" s="157">
        <f t="shared" si="238"/>
        <v>5972.0479452054797</v>
      </c>
      <c r="NU33" s="168">
        <f t="shared" si="239"/>
        <v>166.02599999999995</v>
      </c>
      <c r="NV33" s="168">
        <f t="shared" si="240"/>
        <v>98.69999999999996</v>
      </c>
      <c r="NW33" s="181"/>
      <c r="NX33" s="157"/>
      <c r="NY33" s="157"/>
      <c r="NZ33" s="157"/>
      <c r="OA33" s="157"/>
      <c r="OB33" s="157"/>
    </row>
    <row r="34" spans="1:392" ht="13" x14ac:dyDescent="0.3">
      <c r="A34" s="154">
        <v>4.9315068493150687</v>
      </c>
      <c r="B34" s="154">
        <v>-11.5</v>
      </c>
      <c r="C34" s="154">
        <f t="shared" si="241"/>
        <v>-11.5</v>
      </c>
      <c r="D34" s="154">
        <v>765.70000000000016</v>
      </c>
      <c r="E34" s="200">
        <f t="shared" si="242"/>
        <v>15.013725490196073</v>
      </c>
      <c r="F34" s="181">
        <f t="shared" si="54"/>
        <v>2866.5</v>
      </c>
      <c r="G34" s="161">
        <f t="shared" si="258"/>
        <v>51.000000000000028</v>
      </c>
      <c r="H34" s="154">
        <f t="shared" si="55"/>
        <v>2.8664999999999998</v>
      </c>
      <c r="I34" s="161">
        <f t="shared" si="56"/>
        <v>1657.5000000000009</v>
      </c>
      <c r="J34" s="181">
        <f t="shared" si="57"/>
        <v>21</v>
      </c>
      <c r="K34" s="181">
        <f t="shared" si="58"/>
        <v>13.584745762711865</v>
      </c>
      <c r="L34" s="181">
        <f t="shared" si="59"/>
        <v>0</v>
      </c>
      <c r="M34" s="181">
        <f t="shared" si="60"/>
        <v>-11.5</v>
      </c>
      <c r="N34" s="181">
        <f t="shared" si="61"/>
        <v>3.6226415094339632</v>
      </c>
      <c r="O34" s="181">
        <f t="shared" si="62"/>
        <v>3.6226415094339632</v>
      </c>
      <c r="P34" s="181">
        <f t="shared" si="63"/>
        <v>15</v>
      </c>
      <c r="Q34" s="181">
        <f t="shared" si="64"/>
        <v>9.1257861635220152</v>
      </c>
      <c r="R34" s="168">
        <f t="shared" si="65"/>
        <v>44.625000000000028</v>
      </c>
      <c r="S34" s="161">
        <f t="shared" si="66"/>
        <v>264.40173261604934</v>
      </c>
      <c r="T34" s="161">
        <f t="shared" si="67"/>
        <v>79.900124924614488</v>
      </c>
      <c r="U34" s="161">
        <f t="shared" si="68"/>
        <v>70.014900917514254</v>
      </c>
      <c r="V34" s="154">
        <f t="shared" si="69"/>
        <v>0.72359999999999991</v>
      </c>
      <c r="W34" s="154">
        <f t="shared" si="70"/>
        <v>3.3475476983539059</v>
      </c>
      <c r="X34" s="154">
        <f t="shared" si="71"/>
        <v>5.1843476983539061</v>
      </c>
      <c r="Y34" s="154">
        <f t="shared" si="72"/>
        <v>5.8130479452054802</v>
      </c>
      <c r="Z34" s="154">
        <f t="shared" si="73"/>
        <v>2.3010000000000002</v>
      </c>
      <c r="AA34" s="154">
        <f t="shared" si="74"/>
        <v>0.62870024685157411</v>
      </c>
      <c r="AB34" s="154">
        <f t="shared" si="26"/>
        <v>4.2225476983539059</v>
      </c>
      <c r="AC34" s="154">
        <f t="shared" si="27"/>
        <v>0.64554794520547942</v>
      </c>
      <c r="AD34" s="154">
        <f t="shared" si="28"/>
        <v>0.35</v>
      </c>
      <c r="AE34" s="154">
        <f t="shared" si="29"/>
        <v>0.52500000000000002</v>
      </c>
      <c r="AF34" s="154">
        <f t="shared" si="30"/>
        <v>0.875</v>
      </c>
      <c r="AG34" s="154">
        <f t="shared" si="75"/>
        <v>0.96179999999999999</v>
      </c>
      <c r="AH34" s="154">
        <f t="shared" si="76"/>
        <v>1.8368</v>
      </c>
      <c r="AI34" s="154">
        <f t="shared" si="77"/>
        <v>0.58732876712328763</v>
      </c>
      <c r="AJ34" s="154">
        <f t="shared" si="78"/>
        <v>5.8219178082191785E-2</v>
      </c>
      <c r="AK34" s="154">
        <f t="shared" si="79"/>
        <v>0</v>
      </c>
      <c r="AL34" s="161">
        <f t="shared" si="80"/>
        <v>587.32876712328766</v>
      </c>
      <c r="AM34" s="161">
        <f t="shared" si="81"/>
        <v>58.219178082191782</v>
      </c>
      <c r="AN34" s="161">
        <f t="shared" si="82"/>
        <v>0</v>
      </c>
      <c r="AO34" s="161"/>
      <c r="AP34" s="154">
        <f t="shared" si="83"/>
        <v>0.64554794520547942</v>
      </c>
      <c r="AQ34" s="154">
        <f t="shared" si="84"/>
        <v>0.64554794520547942</v>
      </c>
      <c r="AR34" s="154">
        <f t="shared" si="85"/>
        <v>2.5604</v>
      </c>
      <c r="AS34" s="161"/>
      <c r="AT34" s="161"/>
      <c r="AU34" s="161"/>
      <c r="AV34" s="161"/>
      <c r="AW34" s="181"/>
      <c r="AX34" s="181"/>
      <c r="AY34" s="181"/>
      <c r="AZ34" s="181"/>
      <c r="BA34" s="181"/>
      <c r="BB34" s="161"/>
      <c r="BC34" s="161"/>
      <c r="BD34" s="161"/>
      <c r="BE34" s="181"/>
      <c r="BF34" s="168"/>
      <c r="BG34" s="181"/>
      <c r="BH34" s="168"/>
      <c r="BI34" s="168"/>
      <c r="BJ34" s="161"/>
      <c r="BK34" s="168"/>
      <c r="BL34" s="168"/>
      <c r="BM34" s="168"/>
      <c r="BN34" s="168"/>
      <c r="BO34" s="168">
        <f t="shared" si="86"/>
        <v>29.953767123287687</v>
      </c>
      <c r="BP34" s="168">
        <f t="shared" si="87"/>
        <v>2.9691780821917826</v>
      </c>
      <c r="BQ34" s="168">
        <f t="shared" si="88"/>
        <v>0</v>
      </c>
      <c r="BR34" s="181"/>
      <c r="BS34" s="161"/>
      <c r="BT34" s="168"/>
      <c r="BU34" s="161"/>
      <c r="BV34" s="161"/>
      <c r="BW34" s="161"/>
      <c r="BX34" s="161"/>
      <c r="CB34" s="181">
        <f t="shared" si="89"/>
        <v>13.767608783843366</v>
      </c>
      <c r="CC34" s="181">
        <f t="shared" si="32"/>
        <v>0</v>
      </c>
      <c r="CD34" s="181">
        <f t="shared" si="32"/>
        <v>16.091753748125928</v>
      </c>
      <c r="CE34" s="181">
        <f t="shared" si="32"/>
        <v>0</v>
      </c>
      <c r="CF34" s="181">
        <f t="shared" si="32"/>
        <v>53.528095599259167</v>
      </c>
      <c r="CG34" s="181">
        <f t="shared" si="32"/>
        <v>0</v>
      </c>
      <c r="CH34" s="181">
        <f t="shared" si="32"/>
        <v>16.112788720345705</v>
      </c>
      <c r="CI34" s="181">
        <f t="shared" si="32"/>
        <v>0</v>
      </c>
      <c r="CJ34" s="182">
        <f t="shared" si="90"/>
        <v>99.500246851574175</v>
      </c>
      <c r="CK34" s="161">
        <f t="shared" si="91"/>
        <v>99.500246851574175</v>
      </c>
      <c r="CL34" s="161">
        <f t="shared" si="243"/>
        <v>529.19999999999993</v>
      </c>
      <c r="CM34" s="182">
        <f t="shared" si="92"/>
        <v>628.70024685157409</v>
      </c>
      <c r="CN34" s="157">
        <f t="shared" si="93"/>
        <v>5.0745125894302854</v>
      </c>
      <c r="CO34" s="162">
        <f t="shared" si="94"/>
        <v>628.70024685157409</v>
      </c>
      <c r="FT34" s="168">
        <f t="shared" si="244"/>
        <v>2.5</v>
      </c>
      <c r="FU34" s="161">
        <f t="shared" si="245"/>
        <v>350</v>
      </c>
      <c r="FV34" s="161">
        <f t="shared" si="33"/>
        <v>525</v>
      </c>
      <c r="FW34" s="161">
        <f t="shared" si="95"/>
        <v>875</v>
      </c>
      <c r="FX34" s="161">
        <v>51.000000000000028</v>
      </c>
      <c r="FY34" s="168">
        <f t="shared" si="96"/>
        <v>2.5</v>
      </c>
      <c r="FZ34" s="161">
        <v>350</v>
      </c>
      <c r="GA34" s="161">
        <v>525</v>
      </c>
      <c r="GB34" s="161">
        <v>875</v>
      </c>
      <c r="GC34" s="168">
        <f t="shared" si="246"/>
        <v>0.56785714285714284</v>
      </c>
      <c r="GD34" s="154">
        <f t="shared" si="97"/>
        <v>21</v>
      </c>
      <c r="GE34" s="181">
        <f t="shared" si="98"/>
        <v>13.584745762711865</v>
      </c>
      <c r="GF34" s="181">
        <f t="shared" si="34"/>
        <v>0</v>
      </c>
      <c r="GG34" s="154">
        <f t="shared" si="99"/>
        <v>-11.5</v>
      </c>
      <c r="GH34" s="181">
        <f t="shared" si="100"/>
        <v>3.6226415094339632</v>
      </c>
      <c r="GI34" s="181">
        <f t="shared" si="101"/>
        <v>17.380503144654092</v>
      </c>
      <c r="GJ34" s="181">
        <f t="shared" si="102"/>
        <v>17.380503144654092</v>
      </c>
      <c r="GK34" s="181">
        <f t="shared" si="103"/>
        <v>0</v>
      </c>
      <c r="GL34" s="157">
        <f t="shared" si="104"/>
        <v>961.8</v>
      </c>
      <c r="GM34" s="157">
        <f t="shared" si="105"/>
        <v>2301</v>
      </c>
      <c r="GN34" s="157">
        <f t="shared" si="106"/>
        <v>0</v>
      </c>
      <c r="GO34" s="157">
        <f t="shared" si="107"/>
        <v>1339.2</v>
      </c>
      <c r="GP34" s="157">
        <f t="shared" si="108"/>
        <v>2866.5</v>
      </c>
      <c r="GQ34" s="157">
        <f t="shared" si="109"/>
        <v>628.70024685157409</v>
      </c>
      <c r="GR34" s="157">
        <f t="shared" si="110"/>
        <v>4205.7</v>
      </c>
      <c r="GS34" s="200">
        <f t="shared" si="111"/>
        <v>1</v>
      </c>
      <c r="GT34" s="157">
        <f t="shared" si="112"/>
        <v>628.70024685157409</v>
      </c>
      <c r="GU34" s="157">
        <f t="shared" si="113"/>
        <v>645.54794520547944</v>
      </c>
      <c r="GV34" s="162">
        <f t="shared" si="114"/>
        <v>4222.5476983539056</v>
      </c>
      <c r="GW34" s="157">
        <f t="shared" si="115"/>
        <v>875</v>
      </c>
      <c r="GX34" s="157">
        <f t="shared" si="247"/>
        <v>525</v>
      </c>
      <c r="GY34" s="207">
        <f t="shared" si="35"/>
        <v>350</v>
      </c>
      <c r="GZ34" s="207">
        <f t="shared" si="116"/>
        <v>350</v>
      </c>
      <c r="HA34" s="157">
        <f t="shared" si="117"/>
        <v>350</v>
      </c>
      <c r="HB34" s="157">
        <f t="shared" si="36"/>
        <v>525</v>
      </c>
      <c r="HC34" s="157">
        <f t="shared" si="37"/>
        <v>875</v>
      </c>
      <c r="HD34" s="168">
        <f t="shared" si="38"/>
        <v>17.850000000000009</v>
      </c>
      <c r="HE34" s="168">
        <f t="shared" si="118"/>
        <v>26.775000000000016</v>
      </c>
      <c r="HF34" s="168">
        <f t="shared" si="39"/>
        <v>44.625000000000028</v>
      </c>
      <c r="HG34" s="157">
        <f t="shared" si="119"/>
        <v>3347.5476983539056</v>
      </c>
      <c r="HH34" s="168">
        <f t="shared" si="120"/>
        <v>0</v>
      </c>
      <c r="HI34" s="168">
        <f t="shared" si="121"/>
        <v>32.063712589430295</v>
      </c>
      <c r="HJ34" s="168">
        <f t="shared" si="122"/>
        <v>215.34993261604933</v>
      </c>
      <c r="HK34" s="168">
        <f t="shared" si="123"/>
        <v>170.72493261604927</v>
      </c>
      <c r="HL34" s="168">
        <f t="shared" si="124"/>
        <v>296.46544520547963</v>
      </c>
      <c r="HM34" s="157">
        <f t="shared" si="125"/>
        <v>875.00000000000023</v>
      </c>
      <c r="HN34" s="168">
        <f t="shared" si="126"/>
        <v>26.775000000000016</v>
      </c>
      <c r="HP34" s="168">
        <f t="shared" si="127"/>
        <v>117.35100000000007</v>
      </c>
      <c r="HQ34" s="168">
        <f t="shared" si="128"/>
        <v>68.299200000000042</v>
      </c>
      <c r="HR34" s="181"/>
      <c r="HU34" s="168">
        <f t="shared" si="248"/>
        <v>2.5</v>
      </c>
      <c r="HV34" s="161">
        <f t="shared" si="248"/>
        <v>350</v>
      </c>
      <c r="HW34" s="161">
        <f t="shared" si="40"/>
        <v>525</v>
      </c>
      <c r="HX34" s="161">
        <f t="shared" si="41"/>
        <v>875</v>
      </c>
      <c r="HY34" s="161">
        <v>51.000000000000028</v>
      </c>
      <c r="HZ34" s="168">
        <f t="shared" si="129"/>
        <v>2.5</v>
      </c>
      <c r="IA34" s="161">
        <v>120.10714285714288</v>
      </c>
      <c r="IB34" s="161">
        <v>180.16071428571431</v>
      </c>
      <c r="IC34" s="161">
        <v>300.26785714285717</v>
      </c>
      <c r="ID34" s="168">
        <f t="shared" si="249"/>
        <v>0.56785714285714284</v>
      </c>
      <c r="IE34" s="154">
        <f t="shared" si="130"/>
        <v>21</v>
      </c>
      <c r="IF34" s="154">
        <f t="shared" si="131"/>
        <v>-11.5</v>
      </c>
      <c r="IG34" s="181">
        <f t="shared" si="132"/>
        <v>2.5446428571428577</v>
      </c>
      <c r="IH34" s="181">
        <f t="shared" si="133"/>
        <v>9.0446428571428577</v>
      </c>
      <c r="II34" s="181">
        <f t="shared" si="134"/>
        <v>0</v>
      </c>
      <c r="IJ34" s="181">
        <f t="shared" si="135"/>
        <v>13.765835579514826</v>
      </c>
      <c r="IK34" s="181">
        <f t="shared" si="136"/>
        <v>15</v>
      </c>
      <c r="IL34" s="181">
        <f t="shared" si="250"/>
        <v>0</v>
      </c>
      <c r="IM34" s="181">
        <f t="shared" si="137"/>
        <v>0</v>
      </c>
      <c r="IN34" s="157">
        <f t="shared" si="138"/>
        <v>1306.6392857142857</v>
      </c>
      <c r="IO34" s="157">
        <f t="shared" si="139"/>
        <v>2301</v>
      </c>
      <c r="IP34" s="157">
        <f t="shared" si="42"/>
        <v>78.492857142857034</v>
      </c>
      <c r="IQ34" s="157">
        <f t="shared" si="43"/>
        <v>915.86785714285725</v>
      </c>
      <c r="IR34" s="157">
        <f t="shared" si="140"/>
        <v>2866.5</v>
      </c>
      <c r="IS34" s="157">
        <f t="shared" si="141"/>
        <v>628.70024685157409</v>
      </c>
      <c r="IT34" s="157">
        <f t="shared" si="142"/>
        <v>3782.3678571428572</v>
      </c>
      <c r="IU34" s="200">
        <f t="shared" si="143"/>
        <v>1</v>
      </c>
      <c r="IV34" s="157">
        <f t="shared" si="144"/>
        <v>628.70024685157409</v>
      </c>
      <c r="IW34" s="157">
        <f t="shared" si="145"/>
        <v>645.54794520547944</v>
      </c>
      <c r="IX34" s="162">
        <f t="shared" si="146"/>
        <v>3877.7084126396203</v>
      </c>
      <c r="IY34" s="157">
        <f t="shared" si="22"/>
        <v>875</v>
      </c>
      <c r="IZ34" s="157">
        <f t="shared" si="147"/>
        <v>180.16071428571431</v>
      </c>
      <c r="JA34" s="207">
        <f t="shared" si="148"/>
        <v>350</v>
      </c>
      <c r="JB34" s="207">
        <f t="shared" si="149"/>
        <v>120.10714285714288</v>
      </c>
      <c r="JC34" s="157">
        <f t="shared" si="150"/>
        <v>120.10714285714288</v>
      </c>
      <c r="JD34" s="157">
        <f t="shared" si="151"/>
        <v>180.16071428571431</v>
      </c>
      <c r="JE34" s="157">
        <f t="shared" si="152"/>
        <v>300.26785714285717</v>
      </c>
      <c r="JF34" s="168">
        <f t="shared" si="153"/>
        <v>6.1254642857142896</v>
      </c>
      <c r="JG34" s="168">
        <f t="shared" si="154"/>
        <v>9.1881964285714357</v>
      </c>
      <c r="JH34" s="168">
        <f t="shared" si="155"/>
        <v>15.313660714285723</v>
      </c>
      <c r="JI34" s="157">
        <f t="shared" si="156"/>
        <v>3577.440555496763</v>
      </c>
      <c r="JJ34" s="168">
        <f t="shared" si="157"/>
        <v>4.0031357142857109</v>
      </c>
      <c r="JK34" s="168">
        <f t="shared" si="158"/>
        <v>32.063712589430295</v>
      </c>
      <c r="JL34" s="168">
        <f t="shared" si="159"/>
        <v>197.76312904462074</v>
      </c>
      <c r="JM34" s="168">
        <f t="shared" si="160"/>
        <v>182.44946833033501</v>
      </c>
      <c r="JN34" s="168">
        <f t="shared" si="161"/>
        <v>296.46544520547963</v>
      </c>
      <c r="JO34" s="157">
        <f t="shared" si="162"/>
        <v>378.76071428571413</v>
      </c>
      <c r="JP34" s="168">
        <f t="shared" si="163"/>
        <v>9.1881964285714357</v>
      </c>
      <c r="JR34" s="168">
        <f t="shared" si="164"/>
        <v>117.35100000000007</v>
      </c>
      <c r="JS34" s="168">
        <f t="shared" si="165"/>
        <v>50.712396428571459</v>
      </c>
      <c r="JT34" s="181"/>
      <c r="JW34" s="168">
        <f t="shared" ref="JW34:JX34" si="271">JW33</f>
        <v>2.5</v>
      </c>
      <c r="JX34" s="161">
        <f t="shared" si="271"/>
        <v>350</v>
      </c>
      <c r="JY34" s="161">
        <f t="shared" si="44"/>
        <v>525</v>
      </c>
      <c r="JZ34" s="161">
        <f t="shared" si="45"/>
        <v>875</v>
      </c>
      <c r="KA34" s="161">
        <v>51.000000000000028</v>
      </c>
      <c r="KB34" s="168">
        <f t="shared" si="166"/>
        <v>2.5</v>
      </c>
      <c r="KC34" s="161">
        <v>120.10714285714288</v>
      </c>
      <c r="KD34" s="161">
        <v>180.16071428571431</v>
      </c>
      <c r="KE34" s="161">
        <v>300.26785714285717</v>
      </c>
      <c r="KF34" s="168">
        <f t="shared" ref="KF34" si="272">KF33</f>
        <v>0.56785714285714284</v>
      </c>
      <c r="KG34" s="154">
        <f t="shared" si="167"/>
        <v>21</v>
      </c>
      <c r="KH34" s="154">
        <f t="shared" si="168"/>
        <v>-11.5</v>
      </c>
      <c r="KI34" s="181">
        <f t="shared" si="169"/>
        <v>2.5446428571428577</v>
      </c>
      <c r="KJ34" s="181">
        <f t="shared" si="170"/>
        <v>9.0446428571428577</v>
      </c>
      <c r="KK34" s="181">
        <f t="shared" si="171"/>
        <v>0</v>
      </c>
      <c r="KL34" s="181">
        <f t="shared" si="172"/>
        <v>9.0446428571428577</v>
      </c>
      <c r="KM34" s="181">
        <f t="shared" si="173"/>
        <v>15</v>
      </c>
      <c r="KN34" s="181">
        <f t="shared" si="253"/>
        <v>0</v>
      </c>
      <c r="KO34" s="181">
        <f t="shared" si="174"/>
        <v>0</v>
      </c>
      <c r="KP34" s="157">
        <f t="shared" si="175"/>
        <v>1306.6392857142857</v>
      </c>
      <c r="KQ34" s="157">
        <f t="shared" si="46"/>
        <v>2301</v>
      </c>
      <c r="KR34" s="157">
        <f t="shared" si="176"/>
        <v>378.76071428571424</v>
      </c>
      <c r="KS34" s="157">
        <f t="shared" si="177"/>
        <v>615.6</v>
      </c>
      <c r="KT34" s="157">
        <f t="shared" si="178"/>
        <v>2866.5</v>
      </c>
      <c r="KU34" s="157">
        <f t="shared" si="179"/>
        <v>628.70024685157409</v>
      </c>
      <c r="KV34" s="157">
        <f t="shared" si="180"/>
        <v>3482.1</v>
      </c>
      <c r="KW34" s="200">
        <f t="shared" si="181"/>
        <v>1</v>
      </c>
      <c r="KX34" s="157">
        <f t="shared" si="182"/>
        <v>628.70024685157409</v>
      </c>
      <c r="KY34" s="157">
        <f t="shared" si="183"/>
        <v>645.54794520547944</v>
      </c>
      <c r="KZ34" s="162">
        <f t="shared" si="47"/>
        <v>3877.7084126396203</v>
      </c>
      <c r="LA34" s="157">
        <f t="shared" si="184"/>
        <v>875</v>
      </c>
      <c r="LB34" s="157">
        <f t="shared" si="185"/>
        <v>180.16071428571431</v>
      </c>
      <c r="LC34" s="207">
        <f t="shared" si="186"/>
        <v>350</v>
      </c>
      <c r="LD34" s="207">
        <f t="shared" si="187"/>
        <v>120.10714285714288</v>
      </c>
      <c r="LE34" s="157">
        <f t="shared" si="188"/>
        <v>120.10714285714288</v>
      </c>
      <c r="LF34" s="157">
        <f t="shared" si="189"/>
        <v>180.16071428571431</v>
      </c>
      <c r="LG34" s="157">
        <f t="shared" si="190"/>
        <v>300.26785714285717</v>
      </c>
      <c r="LH34" s="168">
        <f t="shared" si="191"/>
        <v>6.1254642857142896</v>
      </c>
      <c r="LI34" s="168">
        <f t="shared" si="192"/>
        <v>9.1881964285714357</v>
      </c>
      <c r="LJ34" s="168">
        <f t="shared" si="193"/>
        <v>15.313660714285723</v>
      </c>
      <c r="LK34" s="157">
        <f t="shared" si="194"/>
        <v>3577.440555496763</v>
      </c>
      <c r="LL34" s="168">
        <f t="shared" si="195"/>
        <v>19.316796428571436</v>
      </c>
      <c r="LM34" s="168">
        <f t="shared" si="196"/>
        <v>32.063712589430295</v>
      </c>
      <c r="LN34" s="168">
        <f t="shared" si="197"/>
        <v>197.76312904462074</v>
      </c>
      <c r="LO34" s="168">
        <f t="shared" si="198"/>
        <v>182.44946833033501</v>
      </c>
      <c r="LP34" s="168">
        <f t="shared" si="199"/>
        <v>296.46544520547963</v>
      </c>
      <c r="LQ34" s="157">
        <f t="shared" si="200"/>
        <v>378.76071428571413</v>
      </c>
      <c r="LR34" s="168">
        <f t="shared" si="201"/>
        <v>9.1881964285714357</v>
      </c>
      <c r="LT34" s="168">
        <f t="shared" si="202"/>
        <v>117.35100000000007</v>
      </c>
      <c r="LU34" s="168">
        <f t="shared" si="203"/>
        <v>50.712396428571459</v>
      </c>
      <c r="LV34" s="181"/>
      <c r="LY34" s="168">
        <f t="shared" si="254"/>
        <v>2.5</v>
      </c>
      <c r="LZ34" s="161">
        <f t="shared" si="254"/>
        <v>350</v>
      </c>
      <c r="MA34" s="161">
        <f t="shared" si="48"/>
        <v>525</v>
      </c>
      <c r="MB34" s="161">
        <f t="shared" si="49"/>
        <v>875</v>
      </c>
      <c r="MC34" s="161">
        <v>51.000000000000028</v>
      </c>
      <c r="MD34" s="168">
        <f t="shared" si="204"/>
        <v>2.5</v>
      </c>
      <c r="ME34" s="161">
        <v>350</v>
      </c>
      <c r="MF34" s="161">
        <v>525</v>
      </c>
      <c r="MG34" s="161">
        <v>875</v>
      </c>
      <c r="MH34" s="168">
        <f t="shared" si="255"/>
        <v>0.56785714285714284</v>
      </c>
      <c r="MI34" s="154">
        <f t="shared" si="205"/>
        <v>21</v>
      </c>
      <c r="MJ34" s="181">
        <f t="shared" si="206"/>
        <v>13.584745762711865</v>
      </c>
      <c r="MK34" s="181">
        <f t="shared" si="207"/>
        <v>0</v>
      </c>
      <c r="ML34" s="154">
        <f t="shared" si="208"/>
        <v>-11.5</v>
      </c>
      <c r="MM34" s="181">
        <f t="shared" si="209"/>
        <v>3.6226415094339632</v>
      </c>
      <c r="MN34" s="181">
        <f t="shared" si="210"/>
        <v>3.6226415094339632</v>
      </c>
      <c r="MO34" s="181">
        <f t="shared" si="211"/>
        <v>15</v>
      </c>
      <c r="MP34" s="181">
        <f t="shared" si="212"/>
        <v>0</v>
      </c>
      <c r="MQ34" s="157">
        <f t="shared" si="50"/>
        <v>961.8</v>
      </c>
      <c r="MR34" s="157">
        <f t="shared" si="213"/>
        <v>2301</v>
      </c>
      <c r="MS34" s="157">
        <f t="shared" si="214"/>
        <v>723.59999999999991</v>
      </c>
      <c r="MT34" s="157">
        <f t="shared" si="215"/>
        <v>615.60000000000014</v>
      </c>
      <c r="MU34" s="157">
        <f t="shared" si="216"/>
        <v>2866.5</v>
      </c>
      <c r="MV34" s="157">
        <f t="shared" si="217"/>
        <v>628.70024685157409</v>
      </c>
      <c r="MW34" s="157">
        <f t="shared" si="218"/>
        <v>3482.1000000000004</v>
      </c>
      <c r="MX34" s="200">
        <f t="shared" si="219"/>
        <v>1</v>
      </c>
      <c r="MY34" s="157">
        <f t="shared" si="220"/>
        <v>628.70024685157409</v>
      </c>
      <c r="MZ34" s="157">
        <f t="shared" si="221"/>
        <v>645.54794520547944</v>
      </c>
      <c r="NA34" s="162">
        <f t="shared" si="222"/>
        <v>4222.5476983539056</v>
      </c>
      <c r="NB34" s="157">
        <f t="shared" si="223"/>
        <v>875</v>
      </c>
      <c r="NC34" s="157">
        <f t="shared" si="224"/>
        <v>525</v>
      </c>
      <c r="ND34" s="207">
        <f t="shared" si="51"/>
        <v>350</v>
      </c>
      <c r="NE34" s="207">
        <f t="shared" si="225"/>
        <v>350</v>
      </c>
      <c r="NF34" s="157">
        <f t="shared" si="226"/>
        <v>350</v>
      </c>
      <c r="NG34" s="157">
        <f t="shared" si="52"/>
        <v>525</v>
      </c>
      <c r="NH34" s="157">
        <f t="shared" si="53"/>
        <v>875</v>
      </c>
      <c r="NI34" s="168">
        <f t="shared" si="227"/>
        <v>17.850000000000009</v>
      </c>
      <c r="NJ34" s="168">
        <f t="shared" si="228"/>
        <v>26.775000000000016</v>
      </c>
      <c r="NK34" s="168">
        <f t="shared" si="229"/>
        <v>44.625000000000028</v>
      </c>
      <c r="NL34" s="157">
        <f t="shared" si="230"/>
        <v>3347.5476983539056</v>
      </c>
      <c r="NM34" s="168">
        <f t="shared" si="231"/>
        <v>36.903600000000019</v>
      </c>
      <c r="NN34" s="168">
        <f t="shared" si="232"/>
        <v>32.063712589430295</v>
      </c>
      <c r="NO34" s="168">
        <f t="shared" si="233"/>
        <v>215.34993261604933</v>
      </c>
      <c r="NP34" s="168">
        <f t="shared" si="234"/>
        <v>170.72493261604927</v>
      </c>
      <c r="NQ34" s="168">
        <f t="shared" si="235"/>
        <v>296.46544520547963</v>
      </c>
      <c r="NR34" s="157">
        <f t="shared" si="236"/>
        <v>723.59999999999991</v>
      </c>
      <c r="NS34" s="168">
        <f t="shared" si="237"/>
        <v>26.775000000000016</v>
      </c>
      <c r="NT34" s="157">
        <f t="shared" si="238"/>
        <v>5813.0479452054797</v>
      </c>
      <c r="NU34" s="168">
        <f t="shared" si="239"/>
        <v>117.35100000000007</v>
      </c>
      <c r="NV34" s="168">
        <f t="shared" si="240"/>
        <v>68.299200000000042</v>
      </c>
      <c r="NW34" s="181"/>
      <c r="NX34" s="157"/>
      <c r="NY34" s="157"/>
      <c r="NZ34" s="157"/>
      <c r="OA34" s="157"/>
      <c r="OB34" s="157"/>
    </row>
    <row r="35" spans="1:392" ht="13" x14ac:dyDescent="0.3">
      <c r="A35" s="154">
        <v>5.4452054794520546</v>
      </c>
      <c r="B35" s="154">
        <v>-10.5</v>
      </c>
      <c r="C35" s="154">
        <f t="shared" si="241"/>
        <v>-10.5</v>
      </c>
      <c r="D35" s="154">
        <v>1332.5000000000002</v>
      </c>
      <c r="E35" s="200">
        <f t="shared" si="242"/>
        <v>29.611111111111139</v>
      </c>
      <c r="F35" s="181">
        <f t="shared" si="54"/>
        <v>2778.3</v>
      </c>
      <c r="G35" s="161">
        <f t="shared" si="258"/>
        <v>44.999999999999964</v>
      </c>
      <c r="H35" s="154">
        <f t="shared" si="55"/>
        <v>2.7783000000000002</v>
      </c>
      <c r="I35" s="161">
        <f t="shared" si="56"/>
        <v>1417.4999999999989</v>
      </c>
      <c r="J35" s="181">
        <f t="shared" si="57"/>
        <v>21</v>
      </c>
      <c r="K35" s="181">
        <f t="shared" si="58"/>
        <v>13.584745762711865</v>
      </c>
      <c r="L35" s="181">
        <f t="shared" si="59"/>
        <v>0</v>
      </c>
      <c r="M35" s="181">
        <f t="shared" si="60"/>
        <v>-10.5</v>
      </c>
      <c r="N35" s="181">
        <f t="shared" si="61"/>
        <v>4.6226415094339632</v>
      </c>
      <c r="O35" s="181">
        <f t="shared" si="62"/>
        <v>4.6226415094339632</v>
      </c>
      <c r="P35" s="181">
        <f t="shared" si="63"/>
        <v>15</v>
      </c>
      <c r="Q35" s="181">
        <f t="shared" si="64"/>
        <v>10.125786163522015</v>
      </c>
      <c r="R35" s="168">
        <f t="shared" si="65"/>
        <v>39.374999999999972</v>
      </c>
      <c r="S35" s="161">
        <f t="shared" si="66"/>
        <v>221.78729946265719</v>
      </c>
      <c r="T35" s="161">
        <f t="shared" si="67"/>
        <v>78.400124924614474</v>
      </c>
      <c r="U35" s="161">
        <f t="shared" si="68"/>
        <v>66.993815325876099</v>
      </c>
      <c r="V35" s="154">
        <f t="shared" si="69"/>
        <v>0.65999999999999992</v>
      </c>
      <c r="W35" s="154">
        <f t="shared" si="70"/>
        <v>3.091806654725719</v>
      </c>
      <c r="X35" s="154">
        <f t="shared" si="71"/>
        <v>4.9286066547257192</v>
      </c>
      <c r="Y35" s="154">
        <f t="shared" si="72"/>
        <v>5.6540479452054795</v>
      </c>
      <c r="Z35" s="154">
        <f t="shared" si="73"/>
        <v>2.2302</v>
      </c>
      <c r="AA35" s="154">
        <f t="shared" si="74"/>
        <v>0.72544129047976025</v>
      </c>
      <c r="AB35" s="154">
        <f t="shared" si="26"/>
        <v>3.9668066547257195</v>
      </c>
      <c r="AC35" s="154">
        <f t="shared" si="27"/>
        <v>0.64554794520547942</v>
      </c>
      <c r="AD35" s="154">
        <f t="shared" si="28"/>
        <v>0.35</v>
      </c>
      <c r="AE35" s="154">
        <f t="shared" si="29"/>
        <v>0.52500000000000002</v>
      </c>
      <c r="AF35" s="154">
        <f t="shared" si="30"/>
        <v>0.875</v>
      </c>
      <c r="AG35" s="154">
        <f t="shared" si="75"/>
        <v>0.96179999999999999</v>
      </c>
      <c r="AH35" s="154">
        <f t="shared" si="76"/>
        <v>1.8368</v>
      </c>
      <c r="AI35" s="154">
        <f t="shared" si="77"/>
        <v>0.58732876712328763</v>
      </c>
      <c r="AJ35" s="154">
        <f t="shared" si="78"/>
        <v>5.8219178082191785E-2</v>
      </c>
      <c r="AK35" s="154">
        <f t="shared" si="79"/>
        <v>0</v>
      </c>
      <c r="AL35" s="161">
        <f t="shared" si="80"/>
        <v>587.32876712328766</v>
      </c>
      <c r="AM35" s="161">
        <f t="shared" si="81"/>
        <v>58.219178082191782</v>
      </c>
      <c r="AN35" s="161">
        <f t="shared" si="82"/>
        <v>0</v>
      </c>
      <c r="AO35" s="161"/>
      <c r="AP35" s="154">
        <f t="shared" si="83"/>
        <v>0.64554794520547942</v>
      </c>
      <c r="AQ35" s="154">
        <f t="shared" si="84"/>
        <v>0.64554794520547942</v>
      </c>
      <c r="AR35" s="154">
        <f t="shared" si="85"/>
        <v>2.4967999999999999</v>
      </c>
      <c r="AS35" s="161"/>
      <c r="AT35" s="161"/>
      <c r="AU35" s="161"/>
      <c r="AV35" s="161"/>
      <c r="AW35" s="181"/>
      <c r="AX35" s="181"/>
      <c r="AY35" s="181"/>
      <c r="AZ35" s="181"/>
      <c r="BA35" s="181"/>
      <c r="BB35" s="161"/>
      <c r="BC35" s="161"/>
      <c r="BD35" s="161"/>
      <c r="BE35" s="181"/>
      <c r="BF35" s="168"/>
      <c r="BG35" s="181"/>
      <c r="BH35" s="168"/>
      <c r="BI35" s="168"/>
      <c r="BJ35" s="161"/>
      <c r="BK35" s="168"/>
      <c r="BL35" s="168"/>
      <c r="BM35" s="168"/>
      <c r="BN35" s="168"/>
      <c r="BO35" s="168">
        <f t="shared" si="86"/>
        <v>26.429794520547922</v>
      </c>
      <c r="BP35" s="168">
        <f t="shared" si="87"/>
        <v>2.6198630136986281</v>
      </c>
      <c r="BQ35" s="168">
        <f t="shared" si="88"/>
        <v>0</v>
      </c>
      <c r="BR35" s="181"/>
      <c r="BS35" s="161"/>
      <c r="BT35" s="168"/>
      <c r="BU35" s="161"/>
      <c r="BV35" s="161"/>
      <c r="BW35" s="161"/>
      <c r="BX35" s="161"/>
      <c r="CB35" s="181">
        <f t="shared" si="89"/>
        <v>27.153433283358343</v>
      </c>
      <c r="CC35" s="181">
        <f t="shared" si="32"/>
        <v>0</v>
      </c>
      <c r="CD35" s="181">
        <f t="shared" si="32"/>
        <v>31.737273238380837</v>
      </c>
      <c r="CE35" s="181">
        <f t="shared" si="32"/>
        <v>0</v>
      </c>
      <c r="CF35" s="181">
        <f>CF$23*$E35*CF$21*CF$20</f>
        <v>105.57182408795613</v>
      </c>
      <c r="CG35" s="181">
        <f t="shared" si="32"/>
        <v>0</v>
      </c>
      <c r="CH35" s="181">
        <f t="shared" si="32"/>
        <v>31.778759870064999</v>
      </c>
      <c r="CI35" s="181">
        <f t="shared" si="32"/>
        <v>0</v>
      </c>
      <c r="CJ35" s="182">
        <f t="shared" si="90"/>
        <v>196.24129047976029</v>
      </c>
      <c r="CK35" s="161">
        <f t="shared" si="91"/>
        <v>196.24129047976029</v>
      </c>
      <c r="CL35" s="161">
        <f t="shared" si="243"/>
        <v>529.19999999999993</v>
      </c>
      <c r="CM35" s="182">
        <f t="shared" si="92"/>
        <v>725.44129047976026</v>
      </c>
      <c r="CN35" s="157">
        <f t="shared" si="93"/>
        <v>8.8308580715892067</v>
      </c>
      <c r="CO35" s="162">
        <f t="shared" si="94"/>
        <v>725.44129047976026</v>
      </c>
      <c r="FT35" s="168">
        <f t="shared" si="244"/>
        <v>2.5</v>
      </c>
      <c r="FU35" s="161">
        <f t="shared" si="245"/>
        <v>350</v>
      </c>
      <c r="FV35" s="161">
        <f t="shared" si="33"/>
        <v>525</v>
      </c>
      <c r="FW35" s="161">
        <f t="shared" si="95"/>
        <v>875</v>
      </c>
      <c r="FX35" s="161">
        <v>44.999999999999964</v>
      </c>
      <c r="FY35" s="168">
        <f t="shared" si="96"/>
        <v>2.5</v>
      </c>
      <c r="FZ35" s="161">
        <v>350</v>
      </c>
      <c r="GA35" s="161">
        <v>525</v>
      </c>
      <c r="GB35" s="161">
        <v>875</v>
      </c>
      <c r="GC35" s="168">
        <f t="shared" si="246"/>
        <v>0.56785714285714284</v>
      </c>
      <c r="GD35" s="154">
        <f t="shared" si="97"/>
        <v>21</v>
      </c>
      <c r="GE35" s="181">
        <f t="shared" si="98"/>
        <v>13.584745762711865</v>
      </c>
      <c r="GF35" s="181">
        <f t="shared" si="34"/>
        <v>0</v>
      </c>
      <c r="GG35" s="154">
        <f t="shared" si="99"/>
        <v>-10.5</v>
      </c>
      <c r="GH35" s="181">
        <f t="shared" si="100"/>
        <v>4.6226415094339632</v>
      </c>
      <c r="GI35" s="181">
        <f t="shared" si="101"/>
        <v>18.380503144654092</v>
      </c>
      <c r="GJ35" s="181">
        <f t="shared" si="102"/>
        <v>18.380503144654092</v>
      </c>
      <c r="GK35" s="181">
        <f t="shared" si="103"/>
        <v>0</v>
      </c>
      <c r="GL35" s="157">
        <f t="shared" si="104"/>
        <v>961.8</v>
      </c>
      <c r="GM35" s="157">
        <f t="shared" si="105"/>
        <v>2230.1999999999998</v>
      </c>
      <c r="GN35" s="157">
        <f t="shared" si="106"/>
        <v>0</v>
      </c>
      <c r="GO35" s="157">
        <f t="shared" si="107"/>
        <v>1268.3999999999999</v>
      </c>
      <c r="GP35" s="157">
        <f t="shared" si="108"/>
        <v>2778.3</v>
      </c>
      <c r="GQ35" s="157">
        <f t="shared" si="109"/>
        <v>725.44129047976026</v>
      </c>
      <c r="GR35" s="157">
        <f t="shared" si="110"/>
        <v>4046.7</v>
      </c>
      <c r="GS35" s="200">
        <f t="shared" si="111"/>
        <v>1</v>
      </c>
      <c r="GT35" s="157">
        <f t="shared" si="112"/>
        <v>725.44129047976026</v>
      </c>
      <c r="GU35" s="157">
        <f t="shared" si="113"/>
        <v>645.54794520547944</v>
      </c>
      <c r="GV35" s="162">
        <f t="shared" si="114"/>
        <v>3966.8066547257195</v>
      </c>
      <c r="GW35" s="157">
        <f t="shared" si="115"/>
        <v>875</v>
      </c>
      <c r="GX35" s="157">
        <f t="shared" si="247"/>
        <v>525</v>
      </c>
      <c r="GY35" s="207">
        <f t="shared" si="35"/>
        <v>350</v>
      </c>
      <c r="GZ35" s="207">
        <f t="shared" si="116"/>
        <v>350</v>
      </c>
      <c r="HA35" s="157">
        <f t="shared" si="117"/>
        <v>350</v>
      </c>
      <c r="HB35" s="157">
        <f t="shared" si="36"/>
        <v>525</v>
      </c>
      <c r="HC35" s="157">
        <f t="shared" si="37"/>
        <v>875</v>
      </c>
      <c r="HD35" s="168">
        <f t="shared" si="38"/>
        <v>15.749999999999986</v>
      </c>
      <c r="HE35" s="168">
        <f t="shared" si="118"/>
        <v>23.624999999999982</v>
      </c>
      <c r="HF35" s="168">
        <f t="shared" si="39"/>
        <v>39.374999999999972</v>
      </c>
      <c r="HG35" s="157">
        <f t="shared" si="119"/>
        <v>3091.8066547257195</v>
      </c>
      <c r="HH35" s="168">
        <f t="shared" si="120"/>
        <v>0</v>
      </c>
      <c r="HI35" s="168">
        <f t="shared" si="121"/>
        <v>32.644858071589184</v>
      </c>
      <c r="HJ35" s="168">
        <f t="shared" si="122"/>
        <v>178.50629946265724</v>
      </c>
      <c r="HK35" s="168">
        <f t="shared" si="123"/>
        <v>139.13129946265727</v>
      </c>
      <c r="HL35" s="168">
        <f t="shared" si="124"/>
        <v>254.43215753424639</v>
      </c>
      <c r="HM35" s="157">
        <f t="shared" si="125"/>
        <v>875.00000000000023</v>
      </c>
      <c r="HN35" s="168">
        <f t="shared" si="126"/>
        <v>23.624999999999982</v>
      </c>
      <c r="HP35" s="168">
        <f t="shared" si="127"/>
        <v>100.35899999999992</v>
      </c>
      <c r="HQ35" s="168">
        <f t="shared" si="128"/>
        <v>57.077999999999953</v>
      </c>
      <c r="HR35" s="181"/>
      <c r="HU35" s="168">
        <f t="shared" si="248"/>
        <v>2.5</v>
      </c>
      <c r="HV35" s="161">
        <f t="shared" si="248"/>
        <v>350</v>
      </c>
      <c r="HW35" s="161">
        <f t="shared" si="40"/>
        <v>525</v>
      </c>
      <c r="HX35" s="161">
        <f t="shared" si="41"/>
        <v>875</v>
      </c>
      <c r="HY35" s="161">
        <v>44.999999999999964</v>
      </c>
      <c r="HZ35" s="168">
        <f t="shared" si="129"/>
        <v>2.5</v>
      </c>
      <c r="IA35" s="161">
        <v>146.91000000000003</v>
      </c>
      <c r="IB35" s="161">
        <v>220.36500000000004</v>
      </c>
      <c r="IC35" s="161">
        <v>367.27500000000009</v>
      </c>
      <c r="ID35" s="168">
        <f t="shared" si="249"/>
        <v>0.56785714285714284</v>
      </c>
      <c r="IE35" s="154">
        <f t="shared" si="130"/>
        <v>21</v>
      </c>
      <c r="IF35" s="154">
        <f t="shared" si="131"/>
        <v>-10.5</v>
      </c>
      <c r="IG35" s="181">
        <f t="shared" si="132"/>
        <v>3.1125000000000007</v>
      </c>
      <c r="IH35" s="181">
        <f t="shared" si="133"/>
        <v>9.4124999999999979</v>
      </c>
      <c r="II35" s="181">
        <f t="shared" si="134"/>
        <v>0</v>
      </c>
      <c r="IJ35" s="181">
        <f t="shared" si="135"/>
        <v>15.187264150943395</v>
      </c>
      <c r="IK35" s="181">
        <f t="shared" si="136"/>
        <v>15.187264150943395</v>
      </c>
      <c r="IL35" s="181">
        <f t="shared" si="250"/>
        <v>0</v>
      </c>
      <c r="IM35" s="181">
        <f t="shared" si="137"/>
        <v>0</v>
      </c>
      <c r="IN35" s="157">
        <f t="shared" si="138"/>
        <v>1266.4349999999999</v>
      </c>
      <c r="IO35" s="157">
        <f t="shared" si="139"/>
        <v>2230.1999999999998</v>
      </c>
      <c r="IP35" s="157">
        <f t="shared" si="42"/>
        <v>0</v>
      </c>
      <c r="IQ35" s="157">
        <f t="shared" si="43"/>
        <v>963.76499999999987</v>
      </c>
      <c r="IR35" s="157">
        <f t="shared" si="140"/>
        <v>2778.3</v>
      </c>
      <c r="IS35" s="157">
        <f t="shared" si="141"/>
        <v>725.44129047976026</v>
      </c>
      <c r="IT35" s="157">
        <f t="shared" si="142"/>
        <v>3742.0650000000001</v>
      </c>
      <c r="IU35" s="200">
        <f t="shared" si="143"/>
        <v>1</v>
      </c>
      <c r="IV35" s="157">
        <f t="shared" si="144"/>
        <v>725.44129047976026</v>
      </c>
      <c r="IW35" s="157">
        <f t="shared" si="145"/>
        <v>645.54794520547944</v>
      </c>
      <c r="IX35" s="162">
        <f t="shared" si="146"/>
        <v>3662.1716547257197</v>
      </c>
      <c r="IY35" s="157">
        <f t="shared" si="22"/>
        <v>875</v>
      </c>
      <c r="IZ35" s="157">
        <f t="shared" si="147"/>
        <v>220.36500000000004</v>
      </c>
      <c r="JA35" s="207">
        <f t="shared" si="148"/>
        <v>350</v>
      </c>
      <c r="JB35" s="207">
        <f t="shared" si="149"/>
        <v>146.91000000000003</v>
      </c>
      <c r="JC35" s="157">
        <f t="shared" si="150"/>
        <v>146.91000000000003</v>
      </c>
      <c r="JD35" s="157">
        <f t="shared" si="151"/>
        <v>220.36500000000004</v>
      </c>
      <c r="JE35" s="157">
        <f t="shared" si="152"/>
        <v>367.27500000000009</v>
      </c>
      <c r="JF35" s="168">
        <f t="shared" si="153"/>
        <v>6.6109499999999954</v>
      </c>
      <c r="JG35" s="168">
        <f t="shared" si="154"/>
        <v>9.9164249999999932</v>
      </c>
      <c r="JH35" s="168">
        <f t="shared" si="155"/>
        <v>16.527374999999989</v>
      </c>
      <c r="JI35" s="157">
        <f t="shared" si="156"/>
        <v>3294.8966547257196</v>
      </c>
      <c r="JJ35" s="168">
        <f t="shared" si="157"/>
        <v>0</v>
      </c>
      <c r="JK35" s="168">
        <f t="shared" si="158"/>
        <v>32.644858071589184</v>
      </c>
      <c r="JL35" s="168">
        <f t="shared" si="159"/>
        <v>164.79772446265724</v>
      </c>
      <c r="JM35" s="168">
        <f t="shared" si="160"/>
        <v>148.27034946265726</v>
      </c>
      <c r="JN35" s="168">
        <f t="shared" si="161"/>
        <v>254.43215753424639</v>
      </c>
      <c r="JO35" s="157">
        <f t="shared" si="162"/>
        <v>355.36500000000001</v>
      </c>
      <c r="JP35" s="168">
        <f t="shared" si="163"/>
        <v>9.9164249999999932</v>
      </c>
      <c r="JR35" s="168">
        <f t="shared" si="164"/>
        <v>100.35899999999992</v>
      </c>
      <c r="JS35" s="168">
        <f t="shared" si="165"/>
        <v>43.369424999999957</v>
      </c>
      <c r="JT35" s="181"/>
      <c r="JW35" s="168">
        <f t="shared" ref="JW35:JX35" si="273">JW34</f>
        <v>2.5</v>
      </c>
      <c r="JX35" s="161">
        <f t="shared" si="273"/>
        <v>350</v>
      </c>
      <c r="JY35" s="161">
        <f t="shared" si="44"/>
        <v>525</v>
      </c>
      <c r="JZ35" s="161">
        <f t="shared" si="45"/>
        <v>875</v>
      </c>
      <c r="KA35" s="161">
        <v>44.999999999999964</v>
      </c>
      <c r="KB35" s="168">
        <f t="shared" si="166"/>
        <v>2.5</v>
      </c>
      <c r="KC35" s="161">
        <v>146.91000000000003</v>
      </c>
      <c r="KD35" s="161">
        <v>220.36500000000004</v>
      </c>
      <c r="KE35" s="161">
        <v>367.27500000000009</v>
      </c>
      <c r="KF35" s="168">
        <f t="shared" ref="KF35" si="274">KF34</f>
        <v>0.56785714285714284</v>
      </c>
      <c r="KG35" s="154">
        <f t="shared" si="167"/>
        <v>21</v>
      </c>
      <c r="KH35" s="154">
        <f t="shared" si="168"/>
        <v>-10.5</v>
      </c>
      <c r="KI35" s="181">
        <f t="shared" si="169"/>
        <v>3.1125000000000007</v>
      </c>
      <c r="KJ35" s="181">
        <f t="shared" si="170"/>
        <v>9.4124999999999979</v>
      </c>
      <c r="KK35" s="181">
        <f t="shared" si="171"/>
        <v>0</v>
      </c>
      <c r="KL35" s="181">
        <f t="shared" si="172"/>
        <v>9.4124999999999979</v>
      </c>
      <c r="KM35" s="181">
        <f t="shared" si="173"/>
        <v>15</v>
      </c>
      <c r="KN35" s="181">
        <f t="shared" si="253"/>
        <v>0</v>
      </c>
      <c r="KO35" s="181">
        <f t="shared" si="174"/>
        <v>0</v>
      </c>
      <c r="KP35" s="157">
        <f t="shared" si="175"/>
        <v>1266.4349999999999</v>
      </c>
      <c r="KQ35" s="157">
        <f t="shared" si="46"/>
        <v>2230.1999999999998</v>
      </c>
      <c r="KR35" s="157">
        <f t="shared" si="176"/>
        <v>355.36500000000012</v>
      </c>
      <c r="KS35" s="157">
        <f t="shared" si="177"/>
        <v>608.39999999999975</v>
      </c>
      <c r="KT35" s="157">
        <f t="shared" si="178"/>
        <v>2778.3</v>
      </c>
      <c r="KU35" s="157">
        <f t="shared" si="179"/>
        <v>725.44129047976026</v>
      </c>
      <c r="KV35" s="157">
        <f t="shared" si="180"/>
        <v>3386.7</v>
      </c>
      <c r="KW35" s="200">
        <f t="shared" si="181"/>
        <v>1</v>
      </c>
      <c r="KX35" s="157">
        <f t="shared" si="182"/>
        <v>725.44129047976026</v>
      </c>
      <c r="KY35" s="157">
        <f t="shared" si="183"/>
        <v>645.54794520547944</v>
      </c>
      <c r="KZ35" s="162">
        <f t="shared" si="47"/>
        <v>3662.1716547257197</v>
      </c>
      <c r="LA35" s="157">
        <f t="shared" si="184"/>
        <v>875</v>
      </c>
      <c r="LB35" s="157">
        <f t="shared" si="185"/>
        <v>220.36500000000004</v>
      </c>
      <c r="LC35" s="207">
        <f t="shared" si="186"/>
        <v>350</v>
      </c>
      <c r="LD35" s="207">
        <f t="shared" si="187"/>
        <v>146.91000000000003</v>
      </c>
      <c r="LE35" s="157">
        <f t="shared" si="188"/>
        <v>146.91000000000003</v>
      </c>
      <c r="LF35" s="157">
        <f t="shared" si="189"/>
        <v>220.36500000000004</v>
      </c>
      <c r="LG35" s="157">
        <f t="shared" si="190"/>
        <v>367.27500000000009</v>
      </c>
      <c r="LH35" s="168">
        <f t="shared" si="191"/>
        <v>6.6109499999999954</v>
      </c>
      <c r="LI35" s="168">
        <f t="shared" si="192"/>
        <v>9.9164249999999932</v>
      </c>
      <c r="LJ35" s="168">
        <f t="shared" si="193"/>
        <v>16.527374999999989</v>
      </c>
      <c r="LK35" s="157">
        <f t="shared" si="194"/>
        <v>3294.8966547257196</v>
      </c>
      <c r="LL35" s="168">
        <f t="shared" si="195"/>
        <v>15.991424999999992</v>
      </c>
      <c r="LM35" s="168">
        <f t="shared" si="196"/>
        <v>32.644858071589184</v>
      </c>
      <c r="LN35" s="168">
        <f t="shared" si="197"/>
        <v>164.79772446265724</v>
      </c>
      <c r="LO35" s="168">
        <f t="shared" si="198"/>
        <v>148.27034946265726</v>
      </c>
      <c r="LP35" s="168">
        <f t="shared" si="199"/>
        <v>254.43215753424639</v>
      </c>
      <c r="LQ35" s="157">
        <f t="shared" si="200"/>
        <v>355.36500000000001</v>
      </c>
      <c r="LR35" s="168">
        <f t="shared" si="201"/>
        <v>9.9164249999999932</v>
      </c>
      <c r="LT35" s="168">
        <f t="shared" si="202"/>
        <v>100.35899999999992</v>
      </c>
      <c r="LU35" s="168">
        <f t="shared" si="203"/>
        <v>43.369424999999957</v>
      </c>
      <c r="LV35" s="181"/>
      <c r="LY35" s="168">
        <f t="shared" si="254"/>
        <v>2.5</v>
      </c>
      <c r="LZ35" s="161">
        <f t="shared" si="254"/>
        <v>350</v>
      </c>
      <c r="MA35" s="161">
        <f t="shared" si="48"/>
        <v>525</v>
      </c>
      <c r="MB35" s="161">
        <f t="shared" si="49"/>
        <v>875</v>
      </c>
      <c r="MC35" s="161">
        <v>44.999999999999964</v>
      </c>
      <c r="MD35" s="168">
        <f t="shared" si="204"/>
        <v>2.5</v>
      </c>
      <c r="ME35" s="161">
        <v>350</v>
      </c>
      <c r="MF35" s="161">
        <v>525</v>
      </c>
      <c r="MG35" s="161">
        <v>875</v>
      </c>
      <c r="MH35" s="168">
        <f t="shared" si="255"/>
        <v>0.56785714285714284</v>
      </c>
      <c r="MI35" s="154">
        <f t="shared" si="205"/>
        <v>21</v>
      </c>
      <c r="MJ35" s="181">
        <f t="shared" si="206"/>
        <v>13.584745762711865</v>
      </c>
      <c r="MK35" s="181">
        <f t="shared" si="207"/>
        <v>0</v>
      </c>
      <c r="ML35" s="154">
        <f t="shared" si="208"/>
        <v>-10.5</v>
      </c>
      <c r="MM35" s="181">
        <f t="shared" si="209"/>
        <v>4.6226415094339632</v>
      </c>
      <c r="MN35" s="181">
        <f t="shared" si="210"/>
        <v>4.6226415094339632</v>
      </c>
      <c r="MO35" s="181">
        <f t="shared" si="211"/>
        <v>15</v>
      </c>
      <c r="MP35" s="181">
        <f t="shared" si="212"/>
        <v>0</v>
      </c>
      <c r="MQ35" s="157">
        <f t="shared" si="50"/>
        <v>961.8</v>
      </c>
      <c r="MR35" s="157">
        <f t="shared" si="213"/>
        <v>2230.1999999999998</v>
      </c>
      <c r="MS35" s="157">
        <f t="shared" si="214"/>
        <v>659.99999999999989</v>
      </c>
      <c r="MT35" s="157">
        <f t="shared" si="215"/>
        <v>608.4</v>
      </c>
      <c r="MU35" s="157">
        <f t="shared" si="216"/>
        <v>2778.3</v>
      </c>
      <c r="MV35" s="157">
        <f t="shared" si="217"/>
        <v>725.44129047976026</v>
      </c>
      <c r="MW35" s="157">
        <f t="shared" si="218"/>
        <v>3386.7000000000003</v>
      </c>
      <c r="MX35" s="200">
        <f t="shared" si="219"/>
        <v>1</v>
      </c>
      <c r="MY35" s="157">
        <f t="shared" si="220"/>
        <v>725.44129047976026</v>
      </c>
      <c r="MZ35" s="157">
        <f t="shared" si="221"/>
        <v>645.54794520547944</v>
      </c>
      <c r="NA35" s="162">
        <f t="shared" si="222"/>
        <v>3966.8066547257195</v>
      </c>
      <c r="NB35" s="157">
        <f t="shared" si="223"/>
        <v>875</v>
      </c>
      <c r="NC35" s="157">
        <f t="shared" si="224"/>
        <v>525</v>
      </c>
      <c r="ND35" s="207">
        <f t="shared" si="51"/>
        <v>350</v>
      </c>
      <c r="NE35" s="207">
        <f t="shared" si="225"/>
        <v>350</v>
      </c>
      <c r="NF35" s="157">
        <f t="shared" si="226"/>
        <v>350</v>
      </c>
      <c r="NG35" s="157">
        <f t="shared" si="52"/>
        <v>525</v>
      </c>
      <c r="NH35" s="157">
        <f t="shared" si="53"/>
        <v>875</v>
      </c>
      <c r="NI35" s="168">
        <f t="shared" si="227"/>
        <v>15.749999999999986</v>
      </c>
      <c r="NJ35" s="168">
        <f t="shared" si="228"/>
        <v>23.624999999999982</v>
      </c>
      <c r="NK35" s="168">
        <f t="shared" si="229"/>
        <v>39.374999999999972</v>
      </c>
      <c r="NL35" s="157">
        <f t="shared" si="230"/>
        <v>3091.8066547257195</v>
      </c>
      <c r="NM35" s="168">
        <f t="shared" si="231"/>
        <v>29.699999999999974</v>
      </c>
      <c r="NN35" s="168">
        <f t="shared" si="232"/>
        <v>32.644858071589184</v>
      </c>
      <c r="NO35" s="168">
        <f t="shared" si="233"/>
        <v>178.50629946265724</v>
      </c>
      <c r="NP35" s="168">
        <f t="shared" si="234"/>
        <v>139.13129946265727</v>
      </c>
      <c r="NQ35" s="168">
        <f t="shared" si="235"/>
        <v>254.43215753424639</v>
      </c>
      <c r="NR35" s="157">
        <f t="shared" si="236"/>
        <v>660</v>
      </c>
      <c r="NS35" s="168">
        <f t="shared" si="237"/>
        <v>23.624999999999982</v>
      </c>
      <c r="NT35" s="157">
        <f t="shared" si="238"/>
        <v>5654.0479452054797</v>
      </c>
      <c r="NU35" s="168">
        <f t="shared" si="239"/>
        <v>100.35899999999992</v>
      </c>
      <c r="NV35" s="168">
        <f t="shared" si="240"/>
        <v>57.077999999999953</v>
      </c>
      <c r="NW35" s="181"/>
      <c r="NX35" s="157"/>
      <c r="NY35" s="157"/>
      <c r="NZ35" s="157"/>
      <c r="OA35" s="157"/>
      <c r="OB35" s="157"/>
    </row>
    <row r="36" spans="1:392" ht="13" x14ac:dyDescent="0.3">
      <c r="A36" s="154">
        <v>6.0502283105022832</v>
      </c>
      <c r="B36" s="154">
        <v>-9.5</v>
      </c>
      <c r="C36" s="154">
        <f t="shared" si="241"/>
        <v>-9.5</v>
      </c>
      <c r="D36" s="154">
        <v>1350.1999999999996</v>
      </c>
      <c r="E36" s="200">
        <f t="shared" si="242"/>
        <v>25.475471698113189</v>
      </c>
      <c r="F36" s="181">
        <f t="shared" si="54"/>
        <v>2690.1</v>
      </c>
      <c r="G36" s="161">
        <f t="shared" si="258"/>
        <v>53.000000000000021</v>
      </c>
      <c r="H36" s="154">
        <f t="shared" si="55"/>
        <v>2.6900999999999997</v>
      </c>
      <c r="I36" s="161">
        <f t="shared" si="56"/>
        <v>1616.5000000000007</v>
      </c>
      <c r="J36" s="181">
        <f t="shared" si="57"/>
        <v>21</v>
      </c>
      <c r="K36" s="181">
        <f t="shared" si="58"/>
        <v>13.584745762711865</v>
      </c>
      <c r="L36" s="181">
        <f t="shared" si="59"/>
        <v>0.47590799031477005</v>
      </c>
      <c r="M36" s="181">
        <f t="shared" si="60"/>
        <v>-9.5</v>
      </c>
      <c r="N36" s="181">
        <f t="shared" si="61"/>
        <v>5.0928571428571434</v>
      </c>
      <c r="O36" s="181">
        <f t="shared" si="62"/>
        <v>5.0928571428571434</v>
      </c>
      <c r="P36" s="181">
        <f t="shared" si="63"/>
        <v>15</v>
      </c>
      <c r="Q36" s="181">
        <f t="shared" si="64"/>
        <v>10.596001796945195</v>
      </c>
      <c r="R36" s="168">
        <f t="shared" si="65"/>
        <v>46.375000000000021</v>
      </c>
      <c r="S36" s="161">
        <f t="shared" si="66"/>
        <v>254.24178006905396</v>
      </c>
      <c r="T36" s="161">
        <f t="shared" si="67"/>
        <v>76.900124924614474</v>
      </c>
      <c r="U36" s="161">
        <f t="shared" si="68"/>
        <v>65.924759721447089</v>
      </c>
      <c r="V36" s="154">
        <f t="shared" si="69"/>
        <v>0.63009428571428561</v>
      </c>
      <c r="W36" s="154">
        <f t="shared" si="70"/>
        <v>2.9939090039983203</v>
      </c>
      <c r="X36" s="154">
        <f t="shared" si="71"/>
        <v>4.7970147182840348</v>
      </c>
      <c r="Y36" s="154">
        <f t="shared" si="72"/>
        <v>5.4950479452054797</v>
      </c>
      <c r="Z36" s="154">
        <f t="shared" si="73"/>
        <v>2.1594000000000002</v>
      </c>
      <c r="AA36" s="154">
        <f t="shared" si="74"/>
        <v>0.69803322692144476</v>
      </c>
      <c r="AB36" s="154">
        <f t="shared" si="26"/>
        <v>3.8689090039983203</v>
      </c>
      <c r="AC36" s="154">
        <f t="shared" si="27"/>
        <v>0.64554794520547942</v>
      </c>
      <c r="AD36" s="154">
        <f t="shared" si="28"/>
        <v>0.35</v>
      </c>
      <c r="AE36" s="154">
        <f t="shared" si="29"/>
        <v>0.52500000000000002</v>
      </c>
      <c r="AF36" s="154">
        <f t="shared" si="30"/>
        <v>0.875</v>
      </c>
      <c r="AG36" s="154">
        <f t="shared" si="75"/>
        <v>0.92810571428571431</v>
      </c>
      <c r="AH36" s="154">
        <f t="shared" si="76"/>
        <v>1.8031057142857143</v>
      </c>
      <c r="AI36" s="154">
        <f t="shared" si="77"/>
        <v>0.58732876712328763</v>
      </c>
      <c r="AJ36" s="154">
        <f t="shared" si="78"/>
        <v>5.8219178082191785E-2</v>
      </c>
      <c r="AK36" s="154">
        <f t="shared" si="79"/>
        <v>0</v>
      </c>
      <c r="AL36" s="161">
        <f t="shared" si="80"/>
        <v>587.32876712328766</v>
      </c>
      <c r="AM36" s="161">
        <f t="shared" si="81"/>
        <v>58.219178082191782</v>
      </c>
      <c r="AN36" s="161">
        <f t="shared" si="82"/>
        <v>0</v>
      </c>
      <c r="AO36" s="161"/>
      <c r="AP36" s="154">
        <f t="shared" si="83"/>
        <v>0.64554794520547942</v>
      </c>
      <c r="AQ36" s="154">
        <f t="shared" si="84"/>
        <v>0.64554794520547942</v>
      </c>
      <c r="AR36" s="154">
        <f t="shared" si="85"/>
        <v>2.4331999999999998</v>
      </c>
      <c r="AS36" s="161"/>
      <c r="AT36" s="161"/>
      <c r="AU36" s="161"/>
      <c r="AV36" s="161"/>
      <c r="AW36" s="181"/>
      <c r="AX36" s="181"/>
      <c r="AY36" s="181"/>
      <c r="AZ36" s="181"/>
      <c r="BA36" s="181"/>
      <c r="BB36" s="161"/>
      <c r="BC36" s="161"/>
      <c r="BD36" s="161"/>
      <c r="BE36" s="181"/>
      <c r="BF36" s="168"/>
      <c r="BG36" s="181"/>
      <c r="BH36" s="168"/>
      <c r="BI36" s="168"/>
      <c r="BJ36" s="161"/>
      <c r="BK36" s="168"/>
      <c r="BL36" s="168"/>
      <c r="BM36" s="168"/>
      <c r="BN36" s="168"/>
      <c r="BO36" s="168">
        <f t="shared" si="86"/>
        <v>31.128424657534257</v>
      </c>
      <c r="BP36" s="168">
        <f t="shared" si="87"/>
        <v>3.0856164383561659</v>
      </c>
      <c r="BQ36" s="168">
        <f t="shared" si="88"/>
        <v>0</v>
      </c>
      <c r="BR36" s="181"/>
      <c r="BS36" s="161"/>
      <c r="BT36" s="168"/>
      <c r="BU36" s="161"/>
      <c r="BV36" s="161"/>
      <c r="BW36" s="161"/>
      <c r="BX36" s="161"/>
      <c r="CB36" s="181">
        <f t="shared" si="89"/>
        <v>23.361045741280286</v>
      </c>
      <c r="CC36" s="181">
        <f t="shared" si="32"/>
        <v>0</v>
      </c>
      <c r="CD36" s="181">
        <f t="shared" si="32"/>
        <v>27.30468313484765</v>
      </c>
      <c r="CE36" s="181">
        <f t="shared" si="32"/>
        <v>0</v>
      </c>
      <c r="CF36" s="181">
        <f t="shared" si="32"/>
        <v>90.827122514214537</v>
      </c>
      <c r="CG36" s="181">
        <f t="shared" si="32"/>
        <v>0</v>
      </c>
      <c r="CH36" s="181">
        <f t="shared" si="32"/>
        <v>27.34037553110236</v>
      </c>
      <c r="CI36" s="181">
        <f t="shared" si="32"/>
        <v>0</v>
      </c>
      <c r="CJ36" s="182">
        <f t="shared" si="90"/>
        <v>168.83322692144483</v>
      </c>
      <c r="CK36" s="161">
        <f t="shared" si="91"/>
        <v>168.83322692144483</v>
      </c>
      <c r="CL36" s="161">
        <f t="shared" si="243"/>
        <v>529.19999999999993</v>
      </c>
      <c r="CM36" s="182">
        <f t="shared" si="92"/>
        <v>698.03322692144479</v>
      </c>
      <c r="CN36" s="157">
        <f t="shared" si="93"/>
        <v>8.9481610268365799</v>
      </c>
      <c r="CO36" s="162">
        <f t="shared" si="94"/>
        <v>698.03322692144479</v>
      </c>
      <c r="FT36" s="168">
        <f t="shared" si="244"/>
        <v>2.5</v>
      </c>
      <c r="FU36" s="161">
        <f t="shared" si="245"/>
        <v>350</v>
      </c>
      <c r="FV36" s="161">
        <f t="shared" si="33"/>
        <v>525</v>
      </c>
      <c r="FW36" s="161">
        <f t="shared" si="95"/>
        <v>875</v>
      </c>
      <c r="FX36" s="161">
        <v>53.000000000000021</v>
      </c>
      <c r="FY36" s="168">
        <f t="shared" si="96"/>
        <v>2.5</v>
      </c>
      <c r="FZ36" s="161">
        <v>350</v>
      </c>
      <c r="GA36" s="161">
        <v>525</v>
      </c>
      <c r="GB36" s="161">
        <v>875</v>
      </c>
      <c r="GC36" s="168">
        <f t="shared" si="246"/>
        <v>0.56785714285714284</v>
      </c>
      <c r="GD36" s="154">
        <f t="shared" si="97"/>
        <v>21</v>
      </c>
      <c r="GE36" s="181">
        <f t="shared" si="98"/>
        <v>13.584745762711865</v>
      </c>
      <c r="GF36" s="181">
        <f t="shared" si="34"/>
        <v>0.47590799031477005</v>
      </c>
      <c r="GG36" s="154">
        <f t="shared" si="99"/>
        <v>-9.5</v>
      </c>
      <c r="GH36" s="181">
        <f t="shared" si="100"/>
        <v>5.0928571428571434</v>
      </c>
      <c r="GI36" s="181">
        <f t="shared" si="101"/>
        <v>18.850718778077272</v>
      </c>
      <c r="GJ36" s="181">
        <f t="shared" si="102"/>
        <v>18.850718778077272</v>
      </c>
      <c r="GK36" s="181">
        <f t="shared" si="103"/>
        <v>0</v>
      </c>
      <c r="GL36" s="157">
        <f t="shared" si="104"/>
        <v>928.10571428571427</v>
      </c>
      <c r="GM36" s="157">
        <f t="shared" si="105"/>
        <v>2159.4</v>
      </c>
      <c r="GN36" s="157">
        <f t="shared" si="106"/>
        <v>0</v>
      </c>
      <c r="GO36" s="157">
        <f t="shared" si="107"/>
        <v>1231.2942857142857</v>
      </c>
      <c r="GP36" s="157">
        <f t="shared" si="108"/>
        <v>2690.1</v>
      </c>
      <c r="GQ36" s="157">
        <f t="shared" si="109"/>
        <v>698.03322692144479</v>
      </c>
      <c r="GR36" s="157">
        <f t="shared" si="110"/>
        <v>3921.3942857142856</v>
      </c>
      <c r="GS36" s="200">
        <f t="shared" si="111"/>
        <v>1</v>
      </c>
      <c r="GT36" s="157">
        <f t="shared" si="112"/>
        <v>698.03322692144479</v>
      </c>
      <c r="GU36" s="157">
        <f t="shared" si="113"/>
        <v>645.54794520547944</v>
      </c>
      <c r="GV36" s="162">
        <f t="shared" si="114"/>
        <v>3868.9090039983203</v>
      </c>
      <c r="GW36" s="157">
        <f t="shared" si="115"/>
        <v>875</v>
      </c>
      <c r="GX36" s="157">
        <f t="shared" si="247"/>
        <v>525</v>
      </c>
      <c r="GY36" s="207">
        <f t="shared" si="35"/>
        <v>350</v>
      </c>
      <c r="GZ36" s="207">
        <f t="shared" si="116"/>
        <v>350</v>
      </c>
      <c r="HA36" s="157">
        <f t="shared" si="117"/>
        <v>350</v>
      </c>
      <c r="HB36" s="157">
        <f t="shared" si="36"/>
        <v>525</v>
      </c>
      <c r="HC36" s="157">
        <f t="shared" si="37"/>
        <v>875</v>
      </c>
      <c r="HD36" s="168">
        <f t="shared" si="38"/>
        <v>18.550000000000008</v>
      </c>
      <c r="HE36" s="168">
        <f t="shared" si="118"/>
        <v>27.825000000000014</v>
      </c>
      <c r="HF36" s="168">
        <f t="shared" si="39"/>
        <v>46.375000000000021</v>
      </c>
      <c r="HG36" s="157">
        <f t="shared" si="119"/>
        <v>2993.9090039983203</v>
      </c>
      <c r="HH36" s="168">
        <f t="shared" si="120"/>
        <v>0</v>
      </c>
      <c r="HI36" s="168">
        <f t="shared" si="121"/>
        <v>36.99576102683659</v>
      </c>
      <c r="HJ36" s="168">
        <f t="shared" si="122"/>
        <v>205.05217721191104</v>
      </c>
      <c r="HK36" s="168">
        <f t="shared" si="123"/>
        <v>158.67717721191104</v>
      </c>
      <c r="HL36" s="168">
        <f t="shared" si="124"/>
        <v>291.23754109589055</v>
      </c>
      <c r="HM36" s="157">
        <f t="shared" si="125"/>
        <v>875.00000000000011</v>
      </c>
      <c r="HN36" s="168">
        <f t="shared" si="126"/>
        <v>27.825000000000014</v>
      </c>
      <c r="HP36" s="168">
        <f t="shared" si="127"/>
        <v>114.44820000000006</v>
      </c>
      <c r="HQ36" s="168">
        <f t="shared" si="128"/>
        <v>65.25859714285717</v>
      </c>
      <c r="HR36" s="181"/>
      <c r="HU36" s="168">
        <f t="shared" si="248"/>
        <v>2.5</v>
      </c>
      <c r="HV36" s="161">
        <f t="shared" si="248"/>
        <v>350</v>
      </c>
      <c r="HW36" s="161">
        <f t="shared" si="40"/>
        <v>525</v>
      </c>
      <c r="HX36" s="161">
        <f t="shared" si="41"/>
        <v>875</v>
      </c>
      <c r="HY36" s="161">
        <v>53.000000000000021</v>
      </c>
      <c r="HZ36" s="168">
        <f t="shared" si="129"/>
        <v>2.5</v>
      </c>
      <c r="IA36" s="161">
        <v>173.71285714285716</v>
      </c>
      <c r="IB36" s="161">
        <v>260.56928571428574</v>
      </c>
      <c r="IC36" s="161">
        <v>434.2821428571429</v>
      </c>
      <c r="ID36" s="168">
        <f t="shared" si="249"/>
        <v>0.56785714285714284</v>
      </c>
      <c r="IE36" s="154">
        <f t="shared" si="130"/>
        <v>21</v>
      </c>
      <c r="IF36" s="154">
        <f t="shared" si="131"/>
        <v>-9.5</v>
      </c>
      <c r="IG36" s="181">
        <f t="shared" si="132"/>
        <v>3.6803571428571438</v>
      </c>
      <c r="IH36" s="181">
        <f t="shared" si="133"/>
        <v>9.7803571428571416</v>
      </c>
      <c r="II36" s="181">
        <f t="shared" si="134"/>
        <v>4.4408920985006262E-16</v>
      </c>
      <c r="IJ36" s="181">
        <f t="shared" si="135"/>
        <v>16.60869272237197</v>
      </c>
      <c r="IK36" s="181">
        <f t="shared" si="136"/>
        <v>16.60869272237197</v>
      </c>
      <c r="IL36" s="181">
        <f t="shared" si="250"/>
        <v>0</v>
      </c>
      <c r="IM36" s="181">
        <f t="shared" si="137"/>
        <v>0</v>
      </c>
      <c r="IN36" s="157">
        <f t="shared" si="138"/>
        <v>1226.2307142857142</v>
      </c>
      <c r="IO36" s="157">
        <f t="shared" si="139"/>
        <v>2159.4</v>
      </c>
      <c r="IP36" s="157">
        <f t="shared" si="42"/>
        <v>0</v>
      </c>
      <c r="IQ36" s="157">
        <f t="shared" si="43"/>
        <v>933.16928571428593</v>
      </c>
      <c r="IR36" s="157">
        <f t="shared" si="140"/>
        <v>2690.1</v>
      </c>
      <c r="IS36" s="157">
        <f t="shared" si="141"/>
        <v>698.03322692144479</v>
      </c>
      <c r="IT36" s="157">
        <f t="shared" si="142"/>
        <v>3623.2692857142856</v>
      </c>
      <c r="IU36" s="200">
        <f t="shared" si="143"/>
        <v>1</v>
      </c>
      <c r="IV36" s="157">
        <f t="shared" si="144"/>
        <v>698.03322692144479</v>
      </c>
      <c r="IW36" s="157">
        <f t="shared" si="145"/>
        <v>645.54794520547944</v>
      </c>
      <c r="IX36" s="162">
        <f t="shared" si="146"/>
        <v>3570.7840039983203</v>
      </c>
      <c r="IY36" s="157">
        <f t="shared" si="22"/>
        <v>875</v>
      </c>
      <c r="IZ36" s="157">
        <f t="shared" si="147"/>
        <v>260.56928571428574</v>
      </c>
      <c r="JA36" s="207">
        <f t="shared" si="148"/>
        <v>350</v>
      </c>
      <c r="JB36" s="207">
        <f t="shared" si="149"/>
        <v>173.71285714285716</v>
      </c>
      <c r="JC36" s="157">
        <f t="shared" si="150"/>
        <v>173.71285714285716</v>
      </c>
      <c r="JD36" s="157">
        <f t="shared" si="151"/>
        <v>260.56928571428574</v>
      </c>
      <c r="JE36" s="157">
        <f t="shared" si="152"/>
        <v>434.2821428571429</v>
      </c>
      <c r="JF36" s="168">
        <f t="shared" si="153"/>
        <v>9.2067814285714338</v>
      </c>
      <c r="JG36" s="168">
        <f t="shared" si="154"/>
        <v>13.81017214285715</v>
      </c>
      <c r="JH36" s="168">
        <f t="shared" si="155"/>
        <v>23.016953571428584</v>
      </c>
      <c r="JI36" s="157">
        <f t="shared" si="156"/>
        <v>3136.5018611411774</v>
      </c>
      <c r="JJ36" s="168">
        <f t="shared" si="157"/>
        <v>0</v>
      </c>
      <c r="JK36" s="168">
        <f t="shared" si="158"/>
        <v>36.99576102683659</v>
      </c>
      <c r="JL36" s="168">
        <f t="shared" si="159"/>
        <v>189.25155221191105</v>
      </c>
      <c r="JM36" s="168">
        <f t="shared" si="160"/>
        <v>166.23459864048246</v>
      </c>
      <c r="JN36" s="168">
        <f t="shared" si="161"/>
        <v>291.23754109589055</v>
      </c>
      <c r="JO36" s="157">
        <f t="shared" si="162"/>
        <v>331.96928571428566</v>
      </c>
      <c r="JP36" s="168">
        <f t="shared" si="163"/>
        <v>13.81017214285715</v>
      </c>
      <c r="JR36" s="168">
        <f t="shared" si="164"/>
        <v>114.44820000000006</v>
      </c>
      <c r="JS36" s="168">
        <f t="shared" si="165"/>
        <v>49.457972142857173</v>
      </c>
      <c r="JT36" s="181"/>
      <c r="JW36" s="168">
        <f t="shared" ref="JW36:JX36" si="275">JW35</f>
        <v>2.5</v>
      </c>
      <c r="JX36" s="161">
        <f t="shared" si="275"/>
        <v>350</v>
      </c>
      <c r="JY36" s="161">
        <f t="shared" si="44"/>
        <v>525</v>
      </c>
      <c r="JZ36" s="161">
        <f t="shared" si="45"/>
        <v>875</v>
      </c>
      <c r="KA36" s="161">
        <v>53.000000000000021</v>
      </c>
      <c r="KB36" s="168">
        <f t="shared" si="166"/>
        <v>2.5</v>
      </c>
      <c r="KC36" s="161">
        <v>173.71285714285716</v>
      </c>
      <c r="KD36" s="161">
        <v>260.56928571428574</v>
      </c>
      <c r="KE36" s="161">
        <v>434.2821428571429</v>
      </c>
      <c r="KF36" s="168">
        <f t="shared" ref="KF36" si="276">KF35</f>
        <v>0.56785714285714284</v>
      </c>
      <c r="KG36" s="154">
        <f t="shared" si="167"/>
        <v>21</v>
      </c>
      <c r="KH36" s="154">
        <f t="shared" si="168"/>
        <v>-9.5</v>
      </c>
      <c r="KI36" s="181">
        <f t="shared" si="169"/>
        <v>3.6803571428571438</v>
      </c>
      <c r="KJ36" s="181">
        <f t="shared" si="170"/>
        <v>9.7803571428571416</v>
      </c>
      <c r="KK36" s="181">
        <f t="shared" si="171"/>
        <v>4.4408920985006262E-16</v>
      </c>
      <c r="KL36" s="181">
        <f t="shared" si="172"/>
        <v>9.7803571428571416</v>
      </c>
      <c r="KM36" s="181">
        <f t="shared" si="173"/>
        <v>15</v>
      </c>
      <c r="KN36" s="181">
        <f t="shared" si="253"/>
        <v>0</v>
      </c>
      <c r="KO36" s="181">
        <f t="shared" si="174"/>
        <v>0</v>
      </c>
      <c r="KP36" s="157">
        <f t="shared" si="175"/>
        <v>1226.2307142857142</v>
      </c>
      <c r="KQ36" s="157">
        <f t="shared" si="46"/>
        <v>2159.4</v>
      </c>
      <c r="KR36" s="157">
        <f t="shared" si="176"/>
        <v>331.96928571428577</v>
      </c>
      <c r="KS36" s="157">
        <f t="shared" si="177"/>
        <v>601.20000000000016</v>
      </c>
      <c r="KT36" s="157">
        <f t="shared" si="178"/>
        <v>2690.1</v>
      </c>
      <c r="KU36" s="157">
        <f t="shared" si="179"/>
        <v>698.03322692144479</v>
      </c>
      <c r="KV36" s="157">
        <f t="shared" si="180"/>
        <v>3291.3</v>
      </c>
      <c r="KW36" s="200">
        <f t="shared" si="181"/>
        <v>1</v>
      </c>
      <c r="KX36" s="157">
        <f t="shared" si="182"/>
        <v>698.03322692144479</v>
      </c>
      <c r="KY36" s="157">
        <f t="shared" si="183"/>
        <v>645.54794520547944</v>
      </c>
      <c r="KZ36" s="162">
        <f t="shared" si="47"/>
        <v>3570.7840039983203</v>
      </c>
      <c r="LA36" s="157">
        <f t="shared" si="184"/>
        <v>875</v>
      </c>
      <c r="LB36" s="157">
        <f t="shared" si="185"/>
        <v>260.56928571428574</v>
      </c>
      <c r="LC36" s="207">
        <f t="shared" si="186"/>
        <v>350</v>
      </c>
      <c r="LD36" s="207">
        <f t="shared" si="187"/>
        <v>173.71285714285716</v>
      </c>
      <c r="LE36" s="157">
        <f t="shared" si="188"/>
        <v>173.71285714285716</v>
      </c>
      <c r="LF36" s="157">
        <f t="shared" si="189"/>
        <v>260.56928571428574</v>
      </c>
      <c r="LG36" s="157">
        <f t="shared" si="190"/>
        <v>434.2821428571429</v>
      </c>
      <c r="LH36" s="168">
        <f t="shared" si="191"/>
        <v>9.2067814285714338</v>
      </c>
      <c r="LI36" s="168">
        <f t="shared" si="192"/>
        <v>13.81017214285715</v>
      </c>
      <c r="LJ36" s="168">
        <f t="shared" si="193"/>
        <v>23.016953571428584</v>
      </c>
      <c r="LK36" s="157">
        <f t="shared" si="194"/>
        <v>3136.5018611411774</v>
      </c>
      <c r="LL36" s="168">
        <f t="shared" si="195"/>
        <v>17.594372142857154</v>
      </c>
      <c r="LM36" s="168">
        <f t="shared" si="196"/>
        <v>36.99576102683659</v>
      </c>
      <c r="LN36" s="168">
        <f t="shared" si="197"/>
        <v>189.25155221191105</v>
      </c>
      <c r="LO36" s="168">
        <f t="shared" si="198"/>
        <v>166.23459864048246</v>
      </c>
      <c r="LP36" s="168">
        <f t="shared" si="199"/>
        <v>291.23754109589055</v>
      </c>
      <c r="LQ36" s="157">
        <f t="shared" si="200"/>
        <v>331.96928571428566</v>
      </c>
      <c r="LR36" s="168">
        <f t="shared" si="201"/>
        <v>13.81017214285715</v>
      </c>
      <c r="LT36" s="168">
        <f t="shared" si="202"/>
        <v>114.44820000000006</v>
      </c>
      <c r="LU36" s="168">
        <f t="shared" si="203"/>
        <v>49.457972142857173</v>
      </c>
      <c r="LV36" s="181"/>
      <c r="LY36" s="168">
        <f t="shared" si="254"/>
        <v>2.5</v>
      </c>
      <c r="LZ36" s="161">
        <f t="shared" si="254"/>
        <v>350</v>
      </c>
      <c r="MA36" s="161">
        <f t="shared" si="48"/>
        <v>525</v>
      </c>
      <c r="MB36" s="161">
        <f t="shared" si="49"/>
        <v>875</v>
      </c>
      <c r="MC36" s="161">
        <v>53.000000000000021</v>
      </c>
      <c r="MD36" s="168">
        <f t="shared" si="204"/>
        <v>2.5</v>
      </c>
      <c r="ME36" s="161">
        <v>350</v>
      </c>
      <c r="MF36" s="161">
        <v>525</v>
      </c>
      <c r="MG36" s="161">
        <v>875</v>
      </c>
      <c r="MH36" s="168">
        <f t="shared" si="255"/>
        <v>0.56785714285714284</v>
      </c>
      <c r="MI36" s="154">
        <f t="shared" si="205"/>
        <v>21</v>
      </c>
      <c r="MJ36" s="181">
        <f t="shared" si="206"/>
        <v>13.584745762711865</v>
      </c>
      <c r="MK36" s="181">
        <f t="shared" si="207"/>
        <v>0.47590799031477005</v>
      </c>
      <c r="ML36" s="154">
        <f t="shared" si="208"/>
        <v>-9.5</v>
      </c>
      <c r="MM36" s="181">
        <f t="shared" si="209"/>
        <v>5.0928571428571434</v>
      </c>
      <c r="MN36" s="181">
        <f t="shared" si="210"/>
        <v>5.0928571428571434</v>
      </c>
      <c r="MO36" s="181">
        <f t="shared" si="211"/>
        <v>15</v>
      </c>
      <c r="MP36" s="181">
        <f t="shared" si="212"/>
        <v>0</v>
      </c>
      <c r="MQ36" s="157">
        <f t="shared" si="50"/>
        <v>928.10571428571427</v>
      </c>
      <c r="MR36" s="157">
        <f t="shared" si="213"/>
        <v>2159.4</v>
      </c>
      <c r="MS36" s="157">
        <f t="shared" si="214"/>
        <v>630.09428571428566</v>
      </c>
      <c r="MT36" s="157">
        <f t="shared" si="215"/>
        <v>601.20000000000005</v>
      </c>
      <c r="MU36" s="157">
        <f t="shared" si="216"/>
        <v>2690.1</v>
      </c>
      <c r="MV36" s="157">
        <f t="shared" si="217"/>
        <v>698.03322692144479</v>
      </c>
      <c r="MW36" s="157">
        <f t="shared" si="218"/>
        <v>3291.3</v>
      </c>
      <c r="MX36" s="200">
        <f t="shared" si="219"/>
        <v>1</v>
      </c>
      <c r="MY36" s="157">
        <f t="shared" si="220"/>
        <v>698.03322692144479</v>
      </c>
      <c r="MZ36" s="157">
        <f t="shared" si="221"/>
        <v>645.54794520547944</v>
      </c>
      <c r="NA36" s="162">
        <f t="shared" si="222"/>
        <v>3868.9090039983203</v>
      </c>
      <c r="NB36" s="157">
        <f t="shared" si="223"/>
        <v>875</v>
      </c>
      <c r="NC36" s="157">
        <f t="shared" si="224"/>
        <v>525</v>
      </c>
      <c r="ND36" s="207">
        <f t="shared" si="51"/>
        <v>350</v>
      </c>
      <c r="NE36" s="207">
        <f t="shared" si="225"/>
        <v>350</v>
      </c>
      <c r="NF36" s="157">
        <f t="shared" si="226"/>
        <v>350</v>
      </c>
      <c r="NG36" s="157">
        <f t="shared" si="52"/>
        <v>525</v>
      </c>
      <c r="NH36" s="157">
        <f t="shared" si="53"/>
        <v>875</v>
      </c>
      <c r="NI36" s="168">
        <f t="shared" si="227"/>
        <v>18.550000000000008</v>
      </c>
      <c r="NJ36" s="168">
        <f t="shared" si="228"/>
        <v>27.825000000000014</v>
      </c>
      <c r="NK36" s="168">
        <f t="shared" si="229"/>
        <v>46.375000000000021</v>
      </c>
      <c r="NL36" s="157">
        <f t="shared" si="230"/>
        <v>2993.9090039983203</v>
      </c>
      <c r="NM36" s="168">
        <f t="shared" si="231"/>
        <v>33.39499714285715</v>
      </c>
      <c r="NN36" s="168">
        <f t="shared" si="232"/>
        <v>36.99576102683659</v>
      </c>
      <c r="NO36" s="168">
        <f t="shared" si="233"/>
        <v>205.05217721191104</v>
      </c>
      <c r="NP36" s="168">
        <f t="shared" si="234"/>
        <v>158.67717721191104</v>
      </c>
      <c r="NQ36" s="168">
        <f t="shared" si="235"/>
        <v>291.23754109589055</v>
      </c>
      <c r="NR36" s="157">
        <f t="shared" si="236"/>
        <v>630.09428571428555</v>
      </c>
      <c r="NS36" s="168">
        <f t="shared" si="237"/>
        <v>27.825000000000014</v>
      </c>
      <c r="NT36" s="157">
        <f t="shared" si="238"/>
        <v>5495.0479452054797</v>
      </c>
      <c r="NU36" s="168">
        <f t="shared" si="239"/>
        <v>114.44820000000006</v>
      </c>
      <c r="NV36" s="168">
        <f t="shared" si="240"/>
        <v>65.25859714285717</v>
      </c>
      <c r="NW36" s="181"/>
      <c r="NX36" s="157"/>
      <c r="NY36" s="157"/>
      <c r="NZ36" s="157"/>
      <c r="OA36" s="157"/>
      <c r="OB36" s="157"/>
    </row>
    <row r="37" spans="1:392" ht="13" x14ac:dyDescent="0.3">
      <c r="A37" s="154">
        <v>7.0319634703196341</v>
      </c>
      <c r="B37" s="154">
        <v>-8.5</v>
      </c>
      <c r="C37" s="154">
        <f t="shared" si="241"/>
        <v>-8.5</v>
      </c>
      <c r="D37" s="154">
        <v>1307.4999999999998</v>
      </c>
      <c r="E37" s="200">
        <f t="shared" si="242"/>
        <v>15.20348837209303</v>
      </c>
      <c r="F37" s="181">
        <f t="shared" si="54"/>
        <v>2601.9</v>
      </c>
      <c r="G37" s="161">
        <f t="shared" si="258"/>
        <v>85.999999999999943</v>
      </c>
      <c r="H37" s="154">
        <f t="shared" si="55"/>
        <v>2.6019000000000001</v>
      </c>
      <c r="I37" s="161">
        <f t="shared" si="56"/>
        <v>2536.9999999999982</v>
      </c>
      <c r="J37" s="181">
        <f t="shared" si="57"/>
        <v>21</v>
      </c>
      <c r="K37" s="181">
        <f t="shared" si="58"/>
        <v>13.584745762711865</v>
      </c>
      <c r="L37" s="181">
        <f t="shared" si="59"/>
        <v>1.0437651331719131</v>
      </c>
      <c r="M37" s="181">
        <f t="shared" si="60"/>
        <v>-8.5</v>
      </c>
      <c r="N37" s="181">
        <f t="shared" si="61"/>
        <v>5.4607142857142854</v>
      </c>
      <c r="O37" s="181">
        <f t="shared" si="62"/>
        <v>5.4607142857142854</v>
      </c>
      <c r="P37" s="181">
        <f t="shared" si="63"/>
        <v>15</v>
      </c>
      <c r="Q37" s="181">
        <f t="shared" si="64"/>
        <v>10.963858939802336</v>
      </c>
      <c r="R37" s="168">
        <f t="shared" si="65"/>
        <v>75.249999999999943</v>
      </c>
      <c r="S37" s="161">
        <f t="shared" si="66"/>
        <v>404.72374735626175</v>
      </c>
      <c r="T37" s="161">
        <f t="shared" si="67"/>
        <v>75.400124924614474</v>
      </c>
      <c r="U37" s="161">
        <f t="shared" si="68"/>
        <v>65.495127131099537</v>
      </c>
      <c r="V37" s="154">
        <f t="shared" si="69"/>
        <v>0.60669857142857142</v>
      </c>
      <c r="W37" s="154">
        <f t="shared" si="70"/>
        <v>2.9431886569665018</v>
      </c>
      <c r="X37" s="154">
        <f t="shared" si="71"/>
        <v>4.7060900855379302</v>
      </c>
      <c r="Y37" s="154">
        <f t="shared" si="72"/>
        <v>5.3360479452054799</v>
      </c>
      <c r="Z37" s="154">
        <f t="shared" si="73"/>
        <v>2.0886</v>
      </c>
      <c r="AA37" s="154">
        <f t="shared" si="74"/>
        <v>0.62995785966754991</v>
      </c>
      <c r="AB37" s="154">
        <f t="shared" si="26"/>
        <v>3.8181886569665013</v>
      </c>
      <c r="AC37" s="154">
        <f t="shared" si="27"/>
        <v>0.64554794520547942</v>
      </c>
      <c r="AD37" s="154">
        <f t="shared" si="28"/>
        <v>0.35</v>
      </c>
      <c r="AE37" s="154">
        <f t="shared" si="29"/>
        <v>0.52500000000000002</v>
      </c>
      <c r="AF37" s="154">
        <f t="shared" si="30"/>
        <v>0.875</v>
      </c>
      <c r="AG37" s="154">
        <f t="shared" si="75"/>
        <v>0.88790142857142862</v>
      </c>
      <c r="AH37" s="154">
        <f t="shared" si="76"/>
        <v>1.7629014285714286</v>
      </c>
      <c r="AI37" s="154">
        <f t="shared" si="77"/>
        <v>0.58732876712328763</v>
      </c>
      <c r="AJ37" s="154">
        <f t="shared" si="78"/>
        <v>5.8219178082191785E-2</v>
      </c>
      <c r="AK37" s="154">
        <f t="shared" si="79"/>
        <v>0</v>
      </c>
      <c r="AL37" s="161">
        <f t="shared" si="80"/>
        <v>587.32876712328766</v>
      </c>
      <c r="AM37" s="161">
        <f t="shared" si="81"/>
        <v>58.219178082191782</v>
      </c>
      <c r="AN37" s="161">
        <f t="shared" si="82"/>
        <v>0</v>
      </c>
      <c r="AO37" s="161"/>
      <c r="AP37" s="154">
        <f t="shared" si="83"/>
        <v>0.64554794520547942</v>
      </c>
      <c r="AQ37" s="154">
        <f t="shared" si="84"/>
        <v>0.64554794520547942</v>
      </c>
      <c r="AR37" s="154">
        <f t="shared" si="85"/>
        <v>2.3696000000000002</v>
      </c>
      <c r="AS37" s="161"/>
      <c r="AT37" s="161"/>
      <c r="AU37" s="161"/>
      <c r="AV37" s="161"/>
      <c r="AW37" s="181"/>
      <c r="AX37" s="181"/>
      <c r="AY37" s="181"/>
      <c r="AZ37" s="181"/>
      <c r="BA37" s="181"/>
      <c r="BB37" s="161"/>
      <c r="BC37" s="161"/>
      <c r="BD37" s="161"/>
      <c r="BE37" s="181"/>
      <c r="BF37" s="168"/>
      <c r="BG37" s="181"/>
      <c r="BH37" s="168"/>
      <c r="BI37" s="168"/>
      <c r="BJ37" s="161"/>
      <c r="BK37" s="168"/>
      <c r="BL37" s="168"/>
      <c r="BM37" s="168"/>
      <c r="BN37" s="168"/>
      <c r="BO37" s="168">
        <f t="shared" si="86"/>
        <v>50.510273972602704</v>
      </c>
      <c r="BP37" s="168">
        <f t="shared" si="87"/>
        <v>5.0068493150684903</v>
      </c>
      <c r="BQ37" s="168">
        <f t="shared" si="88"/>
        <v>0</v>
      </c>
      <c r="BR37" s="181"/>
      <c r="BS37" s="161"/>
      <c r="BT37" s="168"/>
      <c r="BU37" s="161"/>
      <c r="BV37" s="161"/>
      <c r="BW37" s="161"/>
      <c r="BX37" s="161"/>
      <c r="CB37" s="181">
        <f t="shared" si="89"/>
        <v>13.941621631044947</v>
      </c>
      <c r="CC37" s="181">
        <f t="shared" si="32"/>
        <v>0</v>
      </c>
      <c r="CD37" s="181">
        <f t="shared" si="32"/>
        <v>16.295142145497024</v>
      </c>
      <c r="CE37" s="181">
        <f t="shared" si="32"/>
        <v>0</v>
      </c>
      <c r="CF37" s="181">
        <f t="shared" si="32"/>
        <v>54.204652906105117</v>
      </c>
      <c r="CG37" s="181">
        <f t="shared" si="32"/>
        <v>0</v>
      </c>
      <c r="CH37" s="181">
        <f t="shared" si="32"/>
        <v>16.316442984902906</v>
      </c>
      <c r="CI37" s="181">
        <f t="shared" si="32"/>
        <v>0</v>
      </c>
      <c r="CJ37" s="182">
        <f t="shared" si="90"/>
        <v>100.75785966754999</v>
      </c>
      <c r="CK37" s="161">
        <f t="shared" si="91"/>
        <v>100.75785966754999</v>
      </c>
      <c r="CL37" s="161">
        <f t="shared" si="243"/>
        <v>529.19999999999993</v>
      </c>
      <c r="CM37" s="182">
        <f t="shared" si="92"/>
        <v>629.95785966754988</v>
      </c>
      <c r="CN37" s="157">
        <f t="shared" si="93"/>
        <v>8.6651759314092942</v>
      </c>
      <c r="CO37" s="162">
        <f t="shared" si="94"/>
        <v>629.95785966754988</v>
      </c>
      <c r="FT37" s="168">
        <f t="shared" si="244"/>
        <v>2.5</v>
      </c>
      <c r="FU37" s="161">
        <f t="shared" si="245"/>
        <v>350</v>
      </c>
      <c r="FV37" s="161">
        <f t="shared" si="33"/>
        <v>525</v>
      </c>
      <c r="FW37" s="161">
        <f t="shared" si="95"/>
        <v>875</v>
      </c>
      <c r="FX37" s="161">
        <v>85.999999999999943</v>
      </c>
      <c r="FY37" s="168">
        <f t="shared" si="96"/>
        <v>2.5</v>
      </c>
      <c r="FZ37" s="161">
        <v>350</v>
      </c>
      <c r="GA37" s="161">
        <v>525</v>
      </c>
      <c r="GB37" s="161">
        <v>875</v>
      </c>
      <c r="GC37" s="168">
        <f t="shared" si="246"/>
        <v>0.56785714285714284</v>
      </c>
      <c r="GD37" s="154">
        <f t="shared" si="97"/>
        <v>21</v>
      </c>
      <c r="GE37" s="181">
        <f t="shared" si="98"/>
        <v>13.584745762711865</v>
      </c>
      <c r="GF37" s="181">
        <f t="shared" si="34"/>
        <v>1.0437651331719131</v>
      </c>
      <c r="GG37" s="154">
        <f t="shared" si="99"/>
        <v>-8.5</v>
      </c>
      <c r="GH37" s="181">
        <f t="shared" si="100"/>
        <v>5.4607142857142854</v>
      </c>
      <c r="GI37" s="181">
        <f t="shared" si="101"/>
        <v>19.218575920934413</v>
      </c>
      <c r="GJ37" s="181">
        <f t="shared" si="102"/>
        <v>19.218575920934413</v>
      </c>
      <c r="GK37" s="181">
        <f t="shared" si="103"/>
        <v>0</v>
      </c>
      <c r="GL37" s="157">
        <f t="shared" si="104"/>
        <v>887.9014285714286</v>
      </c>
      <c r="GM37" s="157">
        <f t="shared" si="105"/>
        <v>2088.6</v>
      </c>
      <c r="GN37" s="157">
        <f t="shared" si="106"/>
        <v>0</v>
      </c>
      <c r="GO37" s="157">
        <f t="shared" si="107"/>
        <v>1200.6985714285713</v>
      </c>
      <c r="GP37" s="157">
        <f t="shared" si="108"/>
        <v>2601.9</v>
      </c>
      <c r="GQ37" s="157">
        <f t="shared" si="109"/>
        <v>629.95785966754988</v>
      </c>
      <c r="GR37" s="157">
        <f t="shared" si="110"/>
        <v>3802.5985714285716</v>
      </c>
      <c r="GS37" s="200">
        <f t="shared" si="111"/>
        <v>1</v>
      </c>
      <c r="GT37" s="157">
        <f t="shared" si="112"/>
        <v>629.95785966754988</v>
      </c>
      <c r="GU37" s="157">
        <f t="shared" si="113"/>
        <v>645.54794520547944</v>
      </c>
      <c r="GV37" s="162">
        <f t="shared" si="114"/>
        <v>3818.1886569665012</v>
      </c>
      <c r="GW37" s="157">
        <f t="shared" si="115"/>
        <v>875</v>
      </c>
      <c r="GX37" s="157">
        <f t="shared" si="247"/>
        <v>525</v>
      </c>
      <c r="GY37" s="207">
        <f t="shared" si="35"/>
        <v>350</v>
      </c>
      <c r="GZ37" s="207">
        <f t="shared" si="116"/>
        <v>350</v>
      </c>
      <c r="HA37" s="157">
        <f t="shared" si="117"/>
        <v>350</v>
      </c>
      <c r="HB37" s="157">
        <f t="shared" si="36"/>
        <v>525</v>
      </c>
      <c r="HC37" s="157">
        <f t="shared" si="37"/>
        <v>875</v>
      </c>
      <c r="HD37" s="168">
        <f t="shared" si="38"/>
        <v>30.099999999999977</v>
      </c>
      <c r="HE37" s="168">
        <f t="shared" si="118"/>
        <v>45.14999999999997</v>
      </c>
      <c r="HF37" s="168">
        <f t="shared" si="39"/>
        <v>75.249999999999943</v>
      </c>
      <c r="HG37" s="157">
        <f t="shared" si="119"/>
        <v>2943.1886569665012</v>
      </c>
      <c r="HH37" s="168">
        <f t="shared" si="120"/>
        <v>0</v>
      </c>
      <c r="HI37" s="168">
        <f t="shared" si="121"/>
        <v>54.176375931409254</v>
      </c>
      <c r="HJ37" s="168">
        <f t="shared" si="122"/>
        <v>328.3642244991189</v>
      </c>
      <c r="HK37" s="168">
        <f t="shared" si="123"/>
        <v>253.11422449911896</v>
      </c>
      <c r="HL37" s="168">
        <f t="shared" si="124"/>
        <v>458.90012328767097</v>
      </c>
      <c r="HM37" s="157">
        <f t="shared" si="125"/>
        <v>875</v>
      </c>
      <c r="HN37" s="168">
        <f t="shared" si="126"/>
        <v>45.14999999999997</v>
      </c>
      <c r="HP37" s="168">
        <f t="shared" si="127"/>
        <v>179.61959999999988</v>
      </c>
      <c r="HQ37" s="168">
        <f t="shared" si="128"/>
        <v>103.26007714285707</v>
      </c>
      <c r="HR37" s="181"/>
      <c r="HU37" s="168">
        <f t="shared" si="248"/>
        <v>2.5</v>
      </c>
      <c r="HV37" s="161">
        <f t="shared" si="248"/>
        <v>350</v>
      </c>
      <c r="HW37" s="161">
        <f t="shared" si="40"/>
        <v>525</v>
      </c>
      <c r="HX37" s="161">
        <f t="shared" si="41"/>
        <v>875</v>
      </c>
      <c r="HY37" s="161">
        <v>85.999999999999943</v>
      </c>
      <c r="HZ37" s="168">
        <f t="shared" si="129"/>
        <v>2.5</v>
      </c>
      <c r="IA37" s="161">
        <v>200.51571428571432</v>
      </c>
      <c r="IB37" s="161">
        <v>300.77357142857147</v>
      </c>
      <c r="IC37" s="161">
        <v>501.28928571428582</v>
      </c>
      <c r="ID37" s="168">
        <f t="shared" si="249"/>
        <v>0.56785714285714284</v>
      </c>
      <c r="IE37" s="154">
        <f t="shared" si="130"/>
        <v>21</v>
      </c>
      <c r="IF37" s="154">
        <f t="shared" si="131"/>
        <v>-8.5</v>
      </c>
      <c r="IG37" s="181">
        <f t="shared" si="132"/>
        <v>4.2482142857142868</v>
      </c>
      <c r="IH37" s="181">
        <f t="shared" si="133"/>
        <v>10.148214285714285</v>
      </c>
      <c r="II37" s="181">
        <f t="shared" si="134"/>
        <v>0</v>
      </c>
      <c r="IJ37" s="181">
        <f t="shared" si="135"/>
        <v>18.030121293800541</v>
      </c>
      <c r="IK37" s="181">
        <f t="shared" si="136"/>
        <v>18.030121293800541</v>
      </c>
      <c r="IL37" s="181">
        <f t="shared" si="250"/>
        <v>0</v>
      </c>
      <c r="IM37" s="181">
        <f t="shared" si="137"/>
        <v>0</v>
      </c>
      <c r="IN37" s="157">
        <f t="shared" si="138"/>
        <v>1186.0264285714284</v>
      </c>
      <c r="IO37" s="157">
        <f t="shared" si="139"/>
        <v>2088.6</v>
      </c>
      <c r="IP37" s="157">
        <f t="shared" si="42"/>
        <v>0</v>
      </c>
      <c r="IQ37" s="157">
        <f t="shared" si="43"/>
        <v>902.57357142857154</v>
      </c>
      <c r="IR37" s="157">
        <f t="shared" si="140"/>
        <v>2601.9</v>
      </c>
      <c r="IS37" s="157">
        <f t="shared" si="141"/>
        <v>629.95785966754988</v>
      </c>
      <c r="IT37" s="157">
        <f t="shared" si="142"/>
        <v>3504.4735714285716</v>
      </c>
      <c r="IU37" s="200">
        <f t="shared" si="143"/>
        <v>1</v>
      </c>
      <c r="IV37" s="157">
        <f t="shared" si="144"/>
        <v>629.95785966754988</v>
      </c>
      <c r="IW37" s="157">
        <f t="shared" si="145"/>
        <v>645.54794520547944</v>
      </c>
      <c r="IX37" s="162">
        <f t="shared" si="146"/>
        <v>3520.0636569665012</v>
      </c>
      <c r="IY37" s="157">
        <f t="shared" si="22"/>
        <v>875</v>
      </c>
      <c r="IZ37" s="157">
        <f t="shared" si="147"/>
        <v>300.77357142857147</v>
      </c>
      <c r="JA37" s="207">
        <f t="shared" si="148"/>
        <v>350</v>
      </c>
      <c r="JB37" s="207">
        <f t="shared" si="149"/>
        <v>200.51571428571432</v>
      </c>
      <c r="JC37" s="157">
        <f t="shared" si="150"/>
        <v>200.51571428571432</v>
      </c>
      <c r="JD37" s="157">
        <f t="shared" si="151"/>
        <v>300.77357142857147</v>
      </c>
      <c r="JE37" s="157">
        <f t="shared" si="152"/>
        <v>501.28928571428582</v>
      </c>
      <c r="JF37" s="168">
        <f t="shared" si="153"/>
        <v>17.24435142857142</v>
      </c>
      <c r="JG37" s="168">
        <f t="shared" si="154"/>
        <v>25.86652714285713</v>
      </c>
      <c r="JH37" s="168">
        <f t="shared" si="155"/>
        <v>43.11087857142855</v>
      </c>
      <c r="JI37" s="157">
        <f t="shared" si="156"/>
        <v>3018.7743712522151</v>
      </c>
      <c r="JJ37" s="168">
        <f t="shared" si="157"/>
        <v>0</v>
      </c>
      <c r="JK37" s="168">
        <f t="shared" si="158"/>
        <v>54.176375931409254</v>
      </c>
      <c r="JL37" s="168">
        <f t="shared" si="159"/>
        <v>302.72547449911889</v>
      </c>
      <c r="JM37" s="168">
        <f t="shared" si="160"/>
        <v>259.61459592769035</v>
      </c>
      <c r="JN37" s="168">
        <f t="shared" si="161"/>
        <v>458.90012328767097</v>
      </c>
      <c r="JO37" s="157">
        <f t="shared" si="162"/>
        <v>308.57357142857154</v>
      </c>
      <c r="JP37" s="168">
        <f t="shared" si="163"/>
        <v>25.86652714285713</v>
      </c>
      <c r="JR37" s="168">
        <f t="shared" si="164"/>
        <v>179.61959999999988</v>
      </c>
      <c r="JS37" s="168">
        <f t="shared" si="165"/>
        <v>77.621327142857098</v>
      </c>
      <c r="JT37" s="181"/>
      <c r="JW37" s="168">
        <f t="shared" ref="JW37:JX37" si="277">JW36</f>
        <v>2.5</v>
      </c>
      <c r="JX37" s="161">
        <f t="shared" si="277"/>
        <v>350</v>
      </c>
      <c r="JY37" s="161">
        <f t="shared" si="44"/>
        <v>525</v>
      </c>
      <c r="JZ37" s="161">
        <f t="shared" si="45"/>
        <v>875</v>
      </c>
      <c r="KA37" s="161">
        <v>85.999999999999943</v>
      </c>
      <c r="KB37" s="168">
        <f t="shared" si="166"/>
        <v>2.5</v>
      </c>
      <c r="KC37" s="161">
        <v>200.51571428571432</v>
      </c>
      <c r="KD37" s="161">
        <v>300.77357142857147</v>
      </c>
      <c r="KE37" s="161">
        <v>501.28928571428582</v>
      </c>
      <c r="KF37" s="168">
        <f t="shared" ref="KF37" si="278">KF36</f>
        <v>0.56785714285714284</v>
      </c>
      <c r="KG37" s="154">
        <f t="shared" si="167"/>
        <v>21</v>
      </c>
      <c r="KH37" s="154">
        <f t="shared" si="168"/>
        <v>-8.5</v>
      </c>
      <c r="KI37" s="181">
        <f t="shared" si="169"/>
        <v>4.2482142857142868</v>
      </c>
      <c r="KJ37" s="181">
        <f t="shared" si="170"/>
        <v>10.148214285714285</v>
      </c>
      <c r="KK37" s="181">
        <f t="shared" si="171"/>
        <v>0</v>
      </c>
      <c r="KL37" s="181">
        <f t="shared" si="172"/>
        <v>10.148214285714285</v>
      </c>
      <c r="KM37" s="181">
        <f t="shared" si="173"/>
        <v>15</v>
      </c>
      <c r="KN37" s="181">
        <f t="shared" si="253"/>
        <v>0</v>
      </c>
      <c r="KO37" s="181">
        <f t="shared" si="174"/>
        <v>0</v>
      </c>
      <c r="KP37" s="157">
        <f t="shared" si="175"/>
        <v>1186.0264285714284</v>
      </c>
      <c r="KQ37" s="157">
        <f t="shared" si="46"/>
        <v>2088.6</v>
      </c>
      <c r="KR37" s="157">
        <f t="shared" si="176"/>
        <v>308.57357142857143</v>
      </c>
      <c r="KS37" s="157">
        <f t="shared" si="177"/>
        <v>594.00000000000011</v>
      </c>
      <c r="KT37" s="157">
        <f t="shared" si="178"/>
        <v>2601.9</v>
      </c>
      <c r="KU37" s="157">
        <f t="shared" si="179"/>
        <v>629.95785966754988</v>
      </c>
      <c r="KV37" s="157">
        <f t="shared" si="180"/>
        <v>3195.9</v>
      </c>
      <c r="KW37" s="200">
        <f t="shared" si="181"/>
        <v>1</v>
      </c>
      <c r="KX37" s="157">
        <f t="shared" si="182"/>
        <v>629.95785966754988</v>
      </c>
      <c r="KY37" s="157">
        <f t="shared" si="183"/>
        <v>645.54794520547944</v>
      </c>
      <c r="KZ37" s="162">
        <f t="shared" si="47"/>
        <v>3520.0636569665012</v>
      </c>
      <c r="LA37" s="157">
        <f t="shared" si="184"/>
        <v>875</v>
      </c>
      <c r="LB37" s="157">
        <f t="shared" si="185"/>
        <v>300.77357142857147</v>
      </c>
      <c r="LC37" s="207">
        <f t="shared" si="186"/>
        <v>350</v>
      </c>
      <c r="LD37" s="207">
        <f t="shared" si="187"/>
        <v>200.51571428571432</v>
      </c>
      <c r="LE37" s="157">
        <f t="shared" si="188"/>
        <v>200.51571428571432</v>
      </c>
      <c r="LF37" s="157">
        <f t="shared" si="189"/>
        <v>300.77357142857147</v>
      </c>
      <c r="LG37" s="157">
        <f t="shared" si="190"/>
        <v>501.28928571428582</v>
      </c>
      <c r="LH37" s="168">
        <f t="shared" si="191"/>
        <v>17.24435142857142</v>
      </c>
      <c r="LI37" s="168">
        <f t="shared" si="192"/>
        <v>25.86652714285713</v>
      </c>
      <c r="LJ37" s="168">
        <f t="shared" si="193"/>
        <v>43.11087857142855</v>
      </c>
      <c r="LK37" s="157">
        <f t="shared" si="194"/>
        <v>3018.7743712522151</v>
      </c>
      <c r="LL37" s="168">
        <f t="shared" si="195"/>
        <v>26.537327142857126</v>
      </c>
      <c r="LM37" s="168">
        <f t="shared" si="196"/>
        <v>54.176375931409254</v>
      </c>
      <c r="LN37" s="168">
        <f t="shared" si="197"/>
        <v>302.72547449911889</v>
      </c>
      <c r="LO37" s="168">
        <f t="shared" si="198"/>
        <v>259.61459592769035</v>
      </c>
      <c r="LP37" s="168">
        <f t="shared" si="199"/>
        <v>458.90012328767097</v>
      </c>
      <c r="LQ37" s="157">
        <f t="shared" si="200"/>
        <v>308.57357142857154</v>
      </c>
      <c r="LR37" s="168">
        <f t="shared" si="201"/>
        <v>25.86652714285713</v>
      </c>
      <c r="LT37" s="168">
        <f t="shared" si="202"/>
        <v>179.61959999999988</v>
      </c>
      <c r="LU37" s="168">
        <f t="shared" si="203"/>
        <v>77.621327142857098</v>
      </c>
      <c r="LV37" s="181"/>
      <c r="LY37" s="168">
        <f t="shared" si="254"/>
        <v>2.5</v>
      </c>
      <c r="LZ37" s="161">
        <f t="shared" si="254"/>
        <v>350</v>
      </c>
      <c r="MA37" s="161">
        <f t="shared" si="48"/>
        <v>525</v>
      </c>
      <c r="MB37" s="161">
        <f t="shared" si="49"/>
        <v>875</v>
      </c>
      <c r="MC37" s="161">
        <v>85.999999999999943</v>
      </c>
      <c r="MD37" s="168">
        <f t="shared" si="204"/>
        <v>2.5</v>
      </c>
      <c r="ME37" s="161">
        <v>350</v>
      </c>
      <c r="MF37" s="161">
        <v>525</v>
      </c>
      <c r="MG37" s="161">
        <v>875</v>
      </c>
      <c r="MH37" s="168">
        <f t="shared" si="255"/>
        <v>0.56785714285714284</v>
      </c>
      <c r="MI37" s="154">
        <f t="shared" si="205"/>
        <v>21</v>
      </c>
      <c r="MJ37" s="181">
        <f t="shared" si="206"/>
        <v>13.584745762711865</v>
      </c>
      <c r="MK37" s="181">
        <f t="shared" si="207"/>
        <v>1.0437651331719131</v>
      </c>
      <c r="ML37" s="154">
        <f t="shared" si="208"/>
        <v>-8.5</v>
      </c>
      <c r="MM37" s="181">
        <f t="shared" si="209"/>
        <v>5.4607142857142854</v>
      </c>
      <c r="MN37" s="181">
        <f t="shared" si="210"/>
        <v>5.4607142857142854</v>
      </c>
      <c r="MO37" s="181">
        <f t="shared" si="211"/>
        <v>15</v>
      </c>
      <c r="MP37" s="181">
        <f t="shared" si="212"/>
        <v>0</v>
      </c>
      <c r="MQ37" s="157">
        <f t="shared" si="50"/>
        <v>887.9014285714286</v>
      </c>
      <c r="MR37" s="157">
        <f t="shared" si="213"/>
        <v>2088.6</v>
      </c>
      <c r="MS37" s="157">
        <f t="shared" si="214"/>
        <v>606.69857142857143</v>
      </c>
      <c r="MT37" s="157">
        <f t="shared" si="215"/>
        <v>593.99999999999989</v>
      </c>
      <c r="MU37" s="157">
        <f t="shared" si="216"/>
        <v>2601.9</v>
      </c>
      <c r="MV37" s="157">
        <f t="shared" si="217"/>
        <v>629.95785966754988</v>
      </c>
      <c r="MW37" s="157">
        <f t="shared" si="218"/>
        <v>3195.9</v>
      </c>
      <c r="MX37" s="200">
        <f t="shared" si="219"/>
        <v>1</v>
      </c>
      <c r="MY37" s="157">
        <f t="shared" si="220"/>
        <v>629.95785966754988</v>
      </c>
      <c r="MZ37" s="157">
        <f t="shared" si="221"/>
        <v>645.54794520547944</v>
      </c>
      <c r="NA37" s="162">
        <f t="shared" si="222"/>
        <v>3818.1886569665012</v>
      </c>
      <c r="NB37" s="157">
        <f t="shared" si="223"/>
        <v>875</v>
      </c>
      <c r="NC37" s="157">
        <f t="shared" si="224"/>
        <v>525</v>
      </c>
      <c r="ND37" s="207">
        <f t="shared" si="51"/>
        <v>350</v>
      </c>
      <c r="NE37" s="207">
        <f t="shared" si="225"/>
        <v>350</v>
      </c>
      <c r="NF37" s="157">
        <f t="shared" si="226"/>
        <v>350</v>
      </c>
      <c r="NG37" s="157">
        <f t="shared" si="52"/>
        <v>525</v>
      </c>
      <c r="NH37" s="157">
        <f t="shared" si="53"/>
        <v>875</v>
      </c>
      <c r="NI37" s="168">
        <f t="shared" si="227"/>
        <v>30.099999999999977</v>
      </c>
      <c r="NJ37" s="168">
        <f t="shared" si="228"/>
        <v>45.14999999999997</v>
      </c>
      <c r="NK37" s="168">
        <f t="shared" si="229"/>
        <v>75.249999999999943</v>
      </c>
      <c r="NL37" s="157">
        <f t="shared" si="230"/>
        <v>2943.1886569665012</v>
      </c>
      <c r="NM37" s="168">
        <f t="shared" si="231"/>
        <v>52.17607714285711</v>
      </c>
      <c r="NN37" s="168">
        <f t="shared" si="232"/>
        <v>54.176375931409254</v>
      </c>
      <c r="NO37" s="168">
        <f t="shared" si="233"/>
        <v>328.3642244991189</v>
      </c>
      <c r="NP37" s="168">
        <f t="shared" si="234"/>
        <v>253.11422449911896</v>
      </c>
      <c r="NQ37" s="168">
        <f t="shared" si="235"/>
        <v>458.90012328767097</v>
      </c>
      <c r="NR37" s="157">
        <f t="shared" si="236"/>
        <v>606.69857142857131</v>
      </c>
      <c r="NS37" s="168">
        <f t="shared" si="237"/>
        <v>45.14999999999997</v>
      </c>
      <c r="NT37" s="157">
        <f t="shared" si="238"/>
        <v>5336.0479452054797</v>
      </c>
      <c r="NU37" s="168">
        <f t="shared" si="239"/>
        <v>179.61959999999988</v>
      </c>
      <c r="NV37" s="168">
        <f t="shared" si="240"/>
        <v>103.26007714285707</v>
      </c>
      <c r="NW37" s="181"/>
      <c r="NX37" s="157"/>
      <c r="NY37" s="157"/>
      <c r="NZ37" s="157"/>
      <c r="OA37" s="157"/>
      <c r="OB37" s="157"/>
    </row>
    <row r="38" spans="1:392" ht="13" x14ac:dyDescent="0.3">
      <c r="A38" s="154">
        <v>8.4589041095890405</v>
      </c>
      <c r="B38" s="154">
        <v>-7.5</v>
      </c>
      <c r="C38" s="154">
        <f t="shared" si="241"/>
        <v>-7.5</v>
      </c>
      <c r="D38" s="154">
        <v>3076.1000000000008</v>
      </c>
      <c r="E38" s="200">
        <f t="shared" si="242"/>
        <v>24.608800000000006</v>
      </c>
      <c r="F38" s="181">
        <f t="shared" si="54"/>
        <v>2513.7000000000003</v>
      </c>
      <c r="G38" s="161">
        <f t="shared" si="258"/>
        <v>125</v>
      </c>
      <c r="H38" s="154">
        <f t="shared" si="55"/>
        <v>2.5137000000000005</v>
      </c>
      <c r="I38" s="161">
        <f t="shared" si="56"/>
        <v>3562.5</v>
      </c>
      <c r="J38" s="181">
        <f t="shared" si="57"/>
        <v>21</v>
      </c>
      <c r="K38" s="181">
        <f t="shared" si="58"/>
        <v>13.584745762711865</v>
      </c>
      <c r="L38" s="181">
        <f t="shared" si="59"/>
        <v>1.6116222760290562</v>
      </c>
      <c r="M38" s="181">
        <f t="shared" si="60"/>
        <v>-7.5</v>
      </c>
      <c r="N38" s="181">
        <f t="shared" si="61"/>
        <v>5.8285714285714292</v>
      </c>
      <c r="O38" s="181">
        <f t="shared" si="62"/>
        <v>5.8285714285714292</v>
      </c>
      <c r="P38" s="181">
        <f t="shared" si="63"/>
        <v>15</v>
      </c>
      <c r="Q38" s="181">
        <f t="shared" si="64"/>
        <v>11.331716082659479</v>
      </c>
      <c r="R38" s="168">
        <f t="shared" si="65"/>
        <v>109.375</v>
      </c>
      <c r="S38" s="161">
        <f t="shared" si="66"/>
        <v>560.59479989438819</v>
      </c>
      <c r="T38" s="161">
        <f t="shared" si="67"/>
        <v>73.900124924614474</v>
      </c>
      <c r="U38" s="161">
        <f t="shared" si="68"/>
        <v>63.015069169105445</v>
      </c>
      <c r="V38" s="154">
        <f t="shared" si="69"/>
        <v>0.58330285714285712</v>
      </c>
      <c r="W38" s="154">
        <f t="shared" si="70"/>
        <v>2.7620612562979621</v>
      </c>
      <c r="X38" s="154">
        <f t="shared" si="71"/>
        <v>4.4847583991551057</v>
      </c>
      <c r="Y38" s="154">
        <f t="shared" si="72"/>
        <v>5.1770479452054801</v>
      </c>
      <c r="Z38" s="154">
        <f t="shared" si="73"/>
        <v>2.0177999999999998</v>
      </c>
      <c r="AA38" s="154">
        <f t="shared" si="74"/>
        <v>0.69228954605037474</v>
      </c>
      <c r="AB38" s="154">
        <f t="shared" si="26"/>
        <v>3.6370612562979616</v>
      </c>
      <c r="AC38" s="154">
        <f t="shared" si="27"/>
        <v>0.64554794520547942</v>
      </c>
      <c r="AD38" s="154">
        <f t="shared" si="28"/>
        <v>0.35</v>
      </c>
      <c r="AE38" s="154">
        <f t="shared" si="29"/>
        <v>0.52500000000000002</v>
      </c>
      <c r="AF38" s="154">
        <f t="shared" si="30"/>
        <v>0.875</v>
      </c>
      <c r="AG38" s="154">
        <f t="shared" si="75"/>
        <v>0.84769714285714282</v>
      </c>
      <c r="AH38" s="154">
        <f t="shared" si="76"/>
        <v>1.7226971428571427</v>
      </c>
      <c r="AI38" s="154">
        <f t="shared" si="77"/>
        <v>0.58732876712328763</v>
      </c>
      <c r="AJ38" s="154">
        <f t="shared" si="78"/>
        <v>5.8219178082191785E-2</v>
      </c>
      <c r="AK38" s="154">
        <f t="shared" si="79"/>
        <v>0</v>
      </c>
      <c r="AL38" s="161">
        <f t="shared" si="80"/>
        <v>587.32876712328766</v>
      </c>
      <c r="AM38" s="161">
        <f t="shared" si="81"/>
        <v>58.219178082191782</v>
      </c>
      <c r="AN38" s="161">
        <f t="shared" si="82"/>
        <v>0</v>
      </c>
      <c r="AO38" s="161"/>
      <c r="AP38" s="154">
        <f t="shared" si="83"/>
        <v>0.64554794520547942</v>
      </c>
      <c r="AQ38" s="154">
        <f t="shared" si="84"/>
        <v>0.64554794520547942</v>
      </c>
      <c r="AR38" s="154">
        <f t="shared" si="85"/>
        <v>2.306</v>
      </c>
      <c r="AS38" s="161"/>
      <c r="AT38" s="161"/>
      <c r="AU38" s="161"/>
      <c r="AV38" s="161"/>
      <c r="AW38" s="181"/>
      <c r="AX38" s="181"/>
      <c r="AY38" s="181"/>
      <c r="AZ38" s="181"/>
      <c r="BA38" s="181"/>
      <c r="BB38" s="161"/>
      <c r="BC38" s="161"/>
      <c r="BD38" s="161"/>
      <c r="BE38" s="181"/>
      <c r="BF38" s="168"/>
      <c r="BG38" s="181"/>
      <c r="BH38" s="168"/>
      <c r="BI38" s="168"/>
      <c r="BJ38" s="161"/>
      <c r="BK38" s="168"/>
      <c r="BL38" s="168"/>
      <c r="BM38" s="168"/>
      <c r="BN38" s="168"/>
      <c r="BO38" s="168">
        <f t="shared" si="86"/>
        <v>73.416095890410958</v>
      </c>
      <c r="BP38" s="168">
        <f t="shared" si="87"/>
        <v>7.2773972602739727</v>
      </c>
      <c r="BQ38" s="168">
        <f t="shared" si="88"/>
        <v>0</v>
      </c>
      <c r="BR38" s="181"/>
      <c r="BS38" s="161"/>
      <c r="BT38" s="168"/>
      <c r="BU38" s="161"/>
      <c r="BV38" s="161"/>
      <c r="BW38" s="161"/>
      <c r="BX38" s="161"/>
      <c r="CB38" s="181">
        <f t="shared" si="89"/>
        <v>22.566306494752627</v>
      </c>
      <c r="CC38" s="181">
        <f t="shared" si="32"/>
        <v>0</v>
      </c>
      <c r="CD38" s="181">
        <f t="shared" si="32"/>
        <v>26.375781940029988</v>
      </c>
      <c r="CE38" s="181">
        <f t="shared" si="32"/>
        <v>0</v>
      </c>
      <c r="CF38" s="181">
        <f t="shared" si="32"/>
        <v>87.737197529235388</v>
      </c>
      <c r="CG38" s="181">
        <f t="shared" si="32"/>
        <v>0</v>
      </c>
      <c r="CH38" s="181">
        <f t="shared" si="32"/>
        <v>26.410260086356832</v>
      </c>
      <c r="CI38" s="181">
        <f t="shared" si="32"/>
        <v>0</v>
      </c>
      <c r="CJ38" s="182">
        <f t="shared" si="90"/>
        <v>163.08954605037482</v>
      </c>
      <c r="CK38" s="161">
        <f t="shared" si="91"/>
        <v>163.08954605037482</v>
      </c>
      <c r="CL38" s="161">
        <f t="shared" si="243"/>
        <v>529.19999999999993</v>
      </c>
      <c r="CM38" s="182">
        <f t="shared" si="92"/>
        <v>692.28954605037472</v>
      </c>
      <c r="CN38" s="157">
        <f t="shared" si="93"/>
        <v>20.386193256296853</v>
      </c>
      <c r="CO38" s="162">
        <f t="shared" si="94"/>
        <v>692.28954605037472</v>
      </c>
      <c r="FT38" s="168">
        <f t="shared" si="244"/>
        <v>2.5</v>
      </c>
      <c r="FU38" s="161">
        <f t="shared" si="245"/>
        <v>350</v>
      </c>
      <c r="FV38" s="161">
        <f t="shared" si="33"/>
        <v>525</v>
      </c>
      <c r="FW38" s="161">
        <f t="shared" si="95"/>
        <v>875</v>
      </c>
      <c r="FX38" s="161">
        <v>125</v>
      </c>
      <c r="FY38" s="168">
        <f t="shared" si="96"/>
        <v>2.5</v>
      </c>
      <c r="FZ38" s="161">
        <v>350</v>
      </c>
      <c r="GA38" s="161">
        <v>525</v>
      </c>
      <c r="GB38" s="161">
        <v>875</v>
      </c>
      <c r="GC38" s="168">
        <f t="shared" si="246"/>
        <v>0.56785714285714284</v>
      </c>
      <c r="GD38" s="154">
        <f t="shared" si="97"/>
        <v>21</v>
      </c>
      <c r="GE38" s="181">
        <f t="shared" si="98"/>
        <v>13.584745762711865</v>
      </c>
      <c r="GF38" s="181">
        <f t="shared" si="34"/>
        <v>1.6116222760290562</v>
      </c>
      <c r="GG38" s="154">
        <f t="shared" si="99"/>
        <v>-7.5</v>
      </c>
      <c r="GH38" s="181">
        <f t="shared" si="100"/>
        <v>5.8285714285714292</v>
      </c>
      <c r="GI38" s="181">
        <f t="shared" si="101"/>
        <v>19.586433063791556</v>
      </c>
      <c r="GJ38" s="181">
        <f t="shared" si="102"/>
        <v>19.586433063791556</v>
      </c>
      <c r="GK38" s="181">
        <f t="shared" si="103"/>
        <v>0</v>
      </c>
      <c r="GL38" s="157">
        <f t="shared" si="104"/>
        <v>847.69714285714281</v>
      </c>
      <c r="GM38" s="157">
        <f t="shared" si="105"/>
        <v>2017.8</v>
      </c>
      <c r="GN38" s="157">
        <f t="shared" si="106"/>
        <v>0</v>
      </c>
      <c r="GO38" s="157">
        <f t="shared" si="107"/>
        <v>1170.1028571428571</v>
      </c>
      <c r="GP38" s="157">
        <f t="shared" si="108"/>
        <v>2513.7000000000003</v>
      </c>
      <c r="GQ38" s="157">
        <f t="shared" si="109"/>
        <v>692.28954605037472</v>
      </c>
      <c r="GR38" s="157">
        <f t="shared" si="110"/>
        <v>3683.8028571428576</v>
      </c>
      <c r="GS38" s="200">
        <f t="shared" si="111"/>
        <v>1</v>
      </c>
      <c r="GT38" s="157">
        <f t="shared" si="112"/>
        <v>692.28954605037472</v>
      </c>
      <c r="GU38" s="157">
        <f t="shared" si="113"/>
        <v>645.54794520547944</v>
      </c>
      <c r="GV38" s="162">
        <f t="shared" si="114"/>
        <v>3637.0612562979618</v>
      </c>
      <c r="GW38" s="157">
        <f t="shared" si="115"/>
        <v>875</v>
      </c>
      <c r="GX38" s="157">
        <f t="shared" si="247"/>
        <v>525</v>
      </c>
      <c r="GY38" s="207">
        <f t="shared" si="35"/>
        <v>350</v>
      </c>
      <c r="GZ38" s="207">
        <f t="shared" si="116"/>
        <v>350</v>
      </c>
      <c r="HA38" s="157">
        <f t="shared" si="117"/>
        <v>350</v>
      </c>
      <c r="HB38" s="157">
        <f t="shared" si="36"/>
        <v>525</v>
      </c>
      <c r="HC38" s="157">
        <f t="shared" si="37"/>
        <v>875</v>
      </c>
      <c r="HD38" s="168">
        <f t="shared" si="38"/>
        <v>43.75</v>
      </c>
      <c r="HE38" s="168">
        <f t="shared" si="118"/>
        <v>65.625</v>
      </c>
      <c r="HF38" s="168">
        <f t="shared" si="39"/>
        <v>109.375</v>
      </c>
      <c r="HG38" s="157">
        <f t="shared" si="119"/>
        <v>2762.0612562979618</v>
      </c>
      <c r="HH38" s="168">
        <f t="shared" si="120"/>
        <v>0</v>
      </c>
      <c r="HI38" s="168">
        <f t="shared" si="121"/>
        <v>86.536193256296841</v>
      </c>
      <c r="HJ38" s="168">
        <f t="shared" si="122"/>
        <v>454.63265703724522</v>
      </c>
      <c r="HK38" s="168">
        <f t="shared" si="123"/>
        <v>345.25765703724522</v>
      </c>
      <c r="HL38" s="168">
        <f t="shared" si="124"/>
        <v>647.13099315068496</v>
      </c>
      <c r="HM38" s="157">
        <f t="shared" si="125"/>
        <v>875</v>
      </c>
      <c r="HN38" s="168">
        <f t="shared" si="126"/>
        <v>65.625</v>
      </c>
      <c r="HP38" s="168">
        <f t="shared" si="127"/>
        <v>252.22499999999997</v>
      </c>
      <c r="HQ38" s="168">
        <f t="shared" si="128"/>
        <v>146.26285714285714</v>
      </c>
      <c r="HR38" s="181"/>
      <c r="HU38" s="168">
        <f t="shared" si="248"/>
        <v>2.5</v>
      </c>
      <c r="HV38" s="161">
        <f t="shared" si="248"/>
        <v>350</v>
      </c>
      <c r="HW38" s="161">
        <f t="shared" si="40"/>
        <v>525</v>
      </c>
      <c r="HX38" s="161">
        <f t="shared" si="41"/>
        <v>875</v>
      </c>
      <c r="HY38" s="161">
        <v>125</v>
      </c>
      <c r="HZ38" s="168">
        <f t="shared" si="129"/>
        <v>2.5</v>
      </c>
      <c r="IA38" s="161">
        <v>227.31857142857146</v>
      </c>
      <c r="IB38" s="161">
        <v>340.9778571428572</v>
      </c>
      <c r="IC38" s="161">
        <v>568.29642857142869</v>
      </c>
      <c r="ID38" s="168">
        <f t="shared" si="249"/>
        <v>0.56785714285714284</v>
      </c>
      <c r="IE38" s="154">
        <f t="shared" si="130"/>
        <v>21</v>
      </c>
      <c r="IF38" s="154">
        <f t="shared" si="131"/>
        <v>-7.5</v>
      </c>
      <c r="IG38" s="181">
        <f t="shared" si="132"/>
        <v>4.8160714285714299</v>
      </c>
      <c r="IH38" s="181">
        <f t="shared" si="133"/>
        <v>10.516071428571426</v>
      </c>
      <c r="II38" s="181">
        <f t="shared" si="134"/>
        <v>0</v>
      </c>
      <c r="IJ38" s="181">
        <f t="shared" si="135"/>
        <v>19.451549865229111</v>
      </c>
      <c r="IK38" s="181">
        <f t="shared" si="136"/>
        <v>19.451549865229111</v>
      </c>
      <c r="IL38" s="181">
        <f t="shared" si="250"/>
        <v>0</v>
      </c>
      <c r="IM38" s="181">
        <f t="shared" si="137"/>
        <v>0</v>
      </c>
      <c r="IN38" s="157">
        <f t="shared" si="138"/>
        <v>1145.8221428571428</v>
      </c>
      <c r="IO38" s="157">
        <f t="shared" si="139"/>
        <v>2017.8</v>
      </c>
      <c r="IP38" s="157">
        <f t="shared" si="42"/>
        <v>0</v>
      </c>
      <c r="IQ38" s="157">
        <f t="shared" si="43"/>
        <v>871.97785714285715</v>
      </c>
      <c r="IR38" s="157">
        <f t="shared" si="140"/>
        <v>2513.7000000000003</v>
      </c>
      <c r="IS38" s="157">
        <f t="shared" si="141"/>
        <v>692.28954605037472</v>
      </c>
      <c r="IT38" s="157">
        <f t="shared" si="142"/>
        <v>3385.6778571428576</v>
      </c>
      <c r="IU38" s="200">
        <f t="shared" si="143"/>
        <v>1</v>
      </c>
      <c r="IV38" s="157">
        <f t="shared" si="144"/>
        <v>692.28954605037472</v>
      </c>
      <c r="IW38" s="157">
        <f t="shared" si="145"/>
        <v>645.54794520547944</v>
      </c>
      <c r="IX38" s="162">
        <f t="shared" si="146"/>
        <v>3338.9362562979618</v>
      </c>
      <c r="IY38" s="157">
        <f t="shared" si="22"/>
        <v>875</v>
      </c>
      <c r="IZ38" s="157">
        <f t="shared" si="147"/>
        <v>340.9778571428572</v>
      </c>
      <c r="JA38" s="207">
        <f t="shared" si="148"/>
        <v>350</v>
      </c>
      <c r="JB38" s="207">
        <f t="shared" si="149"/>
        <v>227.31857142857146</v>
      </c>
      <c r="JC38" s="157">
        <f t="shared" si="150"/>
        <v>227.31857142857146</v>
      </c>
      <c r="JD38" s="157">
        <f t="shared" si="151"/>
        <v>340.9778571428572</v>
      </c>
      <c r="JE38" s="157">
        <f t="shared" si="152"/>
        <v>568.29642857142869</v>
      </c>
      <c r="JF38" s="168">
        <f t="shared" si="153"/>
        <v>28.414821428571432</v>
      </c>
      <c r="JG38" s="168">
        <f t="shared" si="154"/>
        <v>42.62223214285715</v>
      </c>
      <c r="JH38" s="168">
        <f t="shared" si="155"/>
        <v>71.037053571428586</v>
      </c>
      <c r="JI38" s="157">
        <f t="shared" si="156"/>
        <v>2770.639827726533</v>
      </c>
      <c r="JJ38" s="168">
        <f t="shared" si="157"/>
        <v>0</v>
      </c>
      <c r="JK38" s="168">
        <f t="shared" si="158"/>
        <v>86.536193256296841</v>
      </c>
      <c r="JL38" s="168">
        <f t="shared" si="159"/>
        <v>417.36703203724522</v>
      </c>
      <c r="JM38" s="168">
        <f t="shared" si="160"/>
        <v>346.32997846581662</v>
      </c>
      <c r="JN38" s="168">
        <f t="shared" si="161"/>
        <v>647.13099315068496</v>
      </c>
      <c r="JO38" s="157">
        <f t="shared" si="162"/>
        <v>285.17785714285696</v>
      </c>
      <c r="JP38" s="168">
        <f t="shared" si="163"/>
        <v>42.62223214285715</v>
      </c>
      <c r="JR38" s="168">
        <f t="shared" si="164"/>
        <v>252.22499999999997</v>
      </c>
      <c r="JS38" s="168">
        <f t="shared" si="165"/>
        <v>108.99723214285714</v>
      </c>
      <c r="JT38" s="181"/>
      <c r="JW38" s="168">
        <f t="shared" ref="JW38:JX38" si="279">JW37</f>
        <v>2.5</v>
      </c>
      <c r="JX38" s="161">
        <f t="shared" si="279"/>
        <v>350</v>
      </c>
      <c r="JY38" s="161">
        <f t="shared" si="44"/>
        <v>525</v>
      </c>
      <c r="JZ38" s="161">
        <f t="shared" si="45"/>
        <v>875</v>
      </c>
      <c r="KA38" s="161">
        <v>125</v>
      </c>
      <c r="KB38" s="168">
        <f t="shared" si="166"/>
        <v>2.5</v>
      </c>
      <c r="KC38" s="161">
        <v>227.31857142857146</v>
      </c>
      <c r="KD38" s="161">
        <v>340.9778571428572</v>
      </c>
      <c r="KE38" s="161">
        <v>568.29642857142869</v>
      </c>
      <c r="KF38" s="168">
        <f t="shared" ref="KF38" si="280">KF37</f>
        <v>0.56785714285714284</v>
      </c>
      <c r="KG38" s="154">
        <f t="shared" si="167"/>
        <v>21</v>
      </c>
      <c r="KH38" s="154">
        <f t="shared" si="168"/>
        <v>-7.5</v>
      </c>
      <c r="KI38" s="181">
        <f t="shared" si="169"/>
        <v>4.8160714285714299</v>
      </c>
      <c r="KJ38" s="181">
        <f t="shared" si="170"/>
        <v>10.516071428571426</v>
      </c>
      <c r="KK38" s="181">
        <f t="shared" si="171"/>
        <v>0</v>
      </c>
      <c r="KL38" s="181">
        <f t="shared" si="172"/>
        <v>10.516071428571426</v>
      </c>
      <c r="KM38" s="181">
        <f t="shared" si="173"/>
        <v>15</v>
      </c>
      <c r="KN38" s="181">
        <f t="shared" si="253"/>
        <v>0</v>
      </c>
      <c r="KO38" s="181">
        <f t="shared" si="174"/>
        <v>0</v>
      </c>
      <c r="KP38" s="157">
        <f t="shared" si="175"/>
        <v>1145.8221428571428</v>
      </c>
      <c r="KQ38" s="157">
        <f t="shared" si="46"/>
        <v>2017.8</v>
      </c>
      <c r="KR38" s="157">
        <f t="shared" si="176"/>
        <v>285.17785714285731</v>
      </c>
      <c r="KS38" s="157">
        <f t="shared" si="177"/>
        <v>586.79999999999984</v>
      </c>
      <c r="KT38" s="157">
        <f t="shared" si="178"/>
        <v>2513.7000000000003</v>
      </c>
      <c r="KU38" s="157">
        <f t="shared" si="179"/>
        <v>692.28954605037472</v>
      </c>
      <c r="KV38" s="157">
        <f t="shared" si="180"/>
        <v>3100.5</v>
      </c>
      <c r="KW38" s="200">
        <f t="shared" si="181"/>
        <v>1</v>
      </c>
      <c r="KX38" s="157">
        <f t="shared" si="182"/>
        <v>692.28954605037472</v>
      </c>
      <c r="KY38" s="157">
        <f t="shared" si="183"/>
        <v>645.54794520547944</v>
      </c>
      <c r="KZ38" s="162">
        <f t="shared" si="47"/>
        <v>3338.9362562979618</v>
      </c>
      <c r="LA38" s="157">
        <f t="shared" si="184"/>
        <v>875</v>
      </c>
      <c r="LB38" s="157">
        <f t="shared" si="185"/>
        <v>340.9778571428572</v>
      </c>
      <c r="LC38" s="207">
        <f t="shared" si="186"/>
        <v>350</v>
      </c>
      <c r="LD38" s="207">
        <f t="shared" si="187"/>
        <v>227.31857142857146</v>
      </c>
      <c r="LE38" s="157">
        <f t="shared" si="188"/>
        <v>227.31857142857146</v>
      </c>
      <c r="LF38" s="157">
        <f t="shared" si="189"/>
        <v>340.9778571428572</v>
      </c>
      <c r="LG38" s="157">
        <f t="shared" si="190"/>
        <v>568.29642857142869</v>
      </c>
      <c r="LH38" s="168">
        <f t="shared" si="191"/>
        <v>28.414821428571432</v>
      </c>
      <c r="LI38" s="168">
        <f t="shared" si="192"/>
        <v>42.62223214285715</v>
      </c>
      <c r="LJ38" s="168">
        <f t="shared" si="193"/>
        <v>71.037053571428586</v>
      </c>
      <c r="LK38" s="157">
        <f t="shared" si="194"/>
        <v>2770.639827726533</v>
      </c>
      <c r="LL38" s="168">
        <f t="shared" si="195"/>
        <v>35.647232142857163</v>
      </c>
      <c r="LM38" s="168">
        <f t="shared" si="196"/>
        <v>86.536193256296841</v>
      </c>
      <c r="LN38" s="168">
        <f t="shared" si="197"/>
        <v>417.36703203724522</v>
      </c>
      <c r="LO38" s="168">
        <f t="shared" si="198"/>
        <v>346.32997846581662</v>
      </c>
      <c r="LP38" s="168">
        <f t="shared" si="199"/>
        <v>647.13099315068496</v>
      </c>
      <c r="LQ38" s="157">
        <f t="shared" si="200"/>
        <v>285.17785714285696</v>
      </c>
      <c r="LR38" s="168">
        <f t="shared" si="201"/>
        <v>42.62223214285715</v>
      </c>
      <c r="LT38" s="168">
        <f t="shared" si="202"/>
        <v>252.22499999999997</v>
      </c>
      <c r="LU38" s="168">
        <f t="shared" si="203"/>
        <v>108.99723214285714</v>
      </c>
      <c r="LV38" s="181"/>
      <c r="LY38" s="168">
        <f t="shared" si="254"/>
        <v>2.5</v>
      </c>
      <c r="LZ38" s="161">
        <f t="shared" si="254"/>
        <v>350</v>
      </c>
      <c r="MA38" s="161">
        <f t="shared" si="48"/>
        <v>525</v>
      </c>
      <c r="MB38" s="161">
        <f t="shared" si="49"/>
        <v>875</v>
      </c>
      <c r="MC38" s="161">
        <v>125</v>
      </c>
      <c r="MD38" s="168">
        <f t="shared" si="204"/>
        <v>2.5</v>
      </c>
      <c r="ME38" s="161">
        <v>350</v>
      </c>
      <c r="MF38" s="161">
        <v>525</v>
      </c>
      <c r="MG38" s="161">
        <v>875</v>
      </c>
      <c r="MH38" s="168">
        <f t="shared" si="255"/>
        <v>0.56785714285714284</v>
      </c>
      <c r="MI38" s="154">
        <f t="shared" si="205"/>
        <v>21</v>
      </c>
      <c r="MJ38" s="181">
        <f t="shared" si="206"/>
        <v>13.584745762711865</v>
      </c>
      <c r="MK38" s="181">
        <f t="shared" si="207"/>
        <v>1.6116222760290562</v>
      </c>
      <c r="ML38" s="154">
        <f t="shared" si="208"/>
        <v>-7.5</v>
      </c>
      <c r="MM38" s="181">
        <f t="shared" si="209"/>
        <v>5.8285714285714292</v>
      </c>
      <c r="MN38" s="181">
        <f t="shared" si="210"/>
        <v>5.8285714285714292</v>
      </c>
      <c r="MO38" s="181">
        <f t="shared" si="211"/>
        <v>15</v>
      </c>
      <c r="MP38" s="181">
        <f t="shared" si="212"/>
        <v>0</v>
      </c>
      <c r="MQ38" s="157">
        <f t="shared" si="50"/>
        <v>847.69714285714281</v>
      </c>
      <c r="MR38" s="157">
        <f t="shared" si="213"/>
        <v>2017.8</v>
      </c>
      <c r="MS38" s="157">
        <f t="shared" si="214"/>
        <v>583.30285714285708</v>
      </c>
      <c r="MT38" s="157">
        <f t="shared" si="215"/>
        <v>586.80000000000007</v>
      </c>
      <c r="MU38" s="157">
        <f t="shared" si="216"/>
        <v>2513.7000000000003</v>
      </c>
      <c r="MV38" s="157">
        <f t="shared" si="217"/>
        <v>692.28954605037472</v>
      </c>
      <c r="MW38" s="157">
        <f t="shared" si="218"/>
        <v>3100.5000000000005</v>
      </c>
      <c r="MX38" s="200">
        <f t="shared" si="219"/>
        <v>1</v>
      </c>
      <c r="MY38" s="157">
        <f t="shared" si="220"/>
        <v>692.28954605037472</v>
      </c>
      <c r="MZ38" s="157">
        <f t="shared" si="221"/>
        <v>645.54794520547944</v>
      </c>
      <c r="NA38" s="162">
        <f t="shared" si="222"/>
        <v>3637.0612562979618</v>
      </c>
      <c r="NB38" s="157">
        <f t="shared" si="223"/>
        <v>875</v>
      </c>
      <c r="NC38" s="157">
        <f t="shared" si="224"/>
        <v>525</v>
      </c>
      <c r="ND38" s="207">
        <f t="shared" si="51"/>
        <v>350</v>
      </c>
      <c r="NE38" s="207">
        <f t="shared" si="225"/>
        <v>350</v>
      </c>
      <c r="NF38" s="157">
        <f t="shared" si="226"/>
        <v>350</v>
      </c>
      <c r="NG38" s="157">
        <f t="shared" si="52"/>
        <v>525</v>
      </c>
      <c r="NH38" s="157">
        <f t="shared" si="53"/>
        <v>875</v>
      </c>
      <c r="NI38" s="168">
        <f t="shared" si="227"/>
        <v>43.75</v>
      </c>
      <c r="NJ38" s="168">
        <f t="shared" si="228"/>
        <v>65.625</v>
      </c>
      <c r="NK38" s="168">
        <f t="shared" si="229"/>
        <v>109.375</v>
      </c>
      <c r="NL38" s="157">
        <f t="shared" si="230"/>
        <v>2762.0612562979618</v>
      </c>
      <c r="NM38" s="168">
        <f t="shared" si="231"/>
        <v>72.912857142857135</v>
      </c>
      <c r="NN38" s="168">
        <f t="shared" si="232"/>
        <v>86.536193256296841</v>
      </c>
      <c r="NO38" s="168">
        <f t="shared" si="233"/>
        <v>454.63265703724522</v>
      </c>
      <c r="NP38" s="168">
        <f t="shared" si="234"/>
        <v>345.25765703724522</v>
      </c>
      <c r="NQ38" s="168">
        <f t="shared" si="235"/>
        <v>647.13099315068496</v>
      </c>
      <c r="NR38" s="157">
        <f t="shared" si="236"/>
        <v>583.30285714285696</v>
      </c>
      <c r="NS38" s="168">
        <f t="shared" si="237"/>
        <v>65.625</v>
      </c>
      <c r="NT38" s="157">
        <f t="shared" si="238"/>
        <v>5177.0479452054797</v>
      </c>
      <c r="NU38" s="168">
        <f t="shared" si="239"/>
        <v>252.22499999999997</v>
      </c>
      <c r="NV38" s="168">
        <f t="shared" si="240"/>
        <v>146.26285714285714</v>
      </c>
      <c r="NW38" s="181"/>
      <c r="NX38" s="157"/>
      <c r="NY38" s="157"/>
      <c r="NZ38" s="157"/>
      <c r="OA38" s="157"/>
      <c r="OB38" s="157"/>
    </row>
    <row r="39" spans="1:392" ht="13" x14ac:dyDescent="0.3">
      <c r="A39" s="154">
        <v>10.114155251141552</v>
      </c>
      <c r="B39" s="154">
        <v>-6.5</v>
      </c>
      <c r="C39" s="154">
        <f t="shared" si="241"/>
        <v>-6.5</v>
      </c>
      <c r="D39" s="154">
        <v>4849.1000000000013</v>
      </c>
      <c r="E39" s="200">
        <f t="shared" si="242"/>
        <v>33.442068965517244</v>
      </c>
      <c r="F39" s="181">
        <f t="shared" si="54"/>
        <v>2425.5</v>
      </c>
      <c r="G39" s="161">
        <f t="shared" si="258"/>
        <v>145.00000000000003</v>
      </c>
      <c r="H39" s="154">
        <f t="shared" si="55"/>
        <v>2.4255</v>
      </c>
      <c r="I39" s="161">
        <f t="shared" si="56"/>
        <v>3987.5000000000009</v>
      </c>
      <c r="J39" s="181">
        <f t="shared" si="57"/>
        <v>21</v>
      </c>
      <c r="K39" s="181">
        <f t="shared" si="58"/>
        <v>13.584745762711865</v>
      </c>
      <c r="L39" s="181">
        <f t="shared" si="59"/>
        <v>2.1794794188861992</v>
      </c>
      <c r="M39" s="181">
        <f t="shared" si="60"/>
        <v>-6.5</v>
      </c>
      <c r="N39" s="181">
        <f t="shared" si="61"/>
        <v>6.1964285714285712</v>
      </c>
      <c r="O39" s="181">
        <f t="shared" si="62"/>
        <v>6.1964285714285712</v>
      </c>
      <c r="P39" s="181">
        <f t="shared" si="63"/>
        <v>15</v>
      </c>
      <c r="Q39" s="181">
        <f t="shared" si="64"/>
        <v>11.699573225516623</v>
      </c>
      <c r="R39" s="168">
        <f t="shared" si="65"/>
        <v>126.87500000000003</v>
      </c>
      <c r="S39" s="161">
        <f t="shared" si="66"/>
        <v>618.74658141693874</v>
      </c>
      <c r="T39" s="161">
        <f t="shared" si="67"/>
        <v>72.400124924614488</v>
      </c>
      <c r="U39" s="161">
        <f t="shared" si="68"/>
        <v>60.594619542066653</v>
      </c>
      <c r="V39" s="154">
        <f t="shared" si="69"/>
        <v>0.55990714285714283</v>
      </c>
      <c r="W39" s="154">
        <f t="shared" si="70"/>
        <v>2.5847249457325816</v>
      </c>
      <c r="X39" s="154">
        <f t="shared" si="71"/>
        <v>4.2672178028754386</v>
      </c>
      <c r="Y39" s="154">
        <f t="shared" si="72"/>
        <v>5.0180479452054803</v>
      </c>
      <c r="Z39" s="154">
        <f t="shared" si="73"/>
        <v>1.9470000000000001</v>
      </c>
      <c r="AA39" s="154">
        <f t="shared" si="74"/>
        <v>0.75083014233004175</v>
      </c>
      <c r="AB39" s="154">
        <f t="shared" si="26"/>
        <v>3.4597249457325807</v>
      </c>
      <c r="AC39" s="154">
        <f t="shared" si="27"/>
        <v>0.64554794520547942</v>
      </c>
      <c r="AD39" s="154">
        <f t="shared" si="28"/>
        <v>0.35</v>
      </c>
      <c r="AE39" s="154">
        <f t="shared" si="29"/>
        <v>0.52500000000000002</v>
      </c>
      <c r="AF39" s="154">
        <f t="shared" si="30"/>
        <v>0.875</v>
      </c>
      <c r="AG39" s="154">
        <f t="shared" si="75"/>
        <v>0.80749285714285712</v>
      </c>
      <c r="AH39" s="154">
        <f t="shared" si="76"/>
        <v>1.682492857142857</v>
      </c>
      <c r="AI39" s="154">
        <f t="shared" si="77"/>
        <v>0.58732876712328763</v>
      </c>
      <c r="AJ39" s="154">
        <f t="shared" si="78"/>
        <v>5.8219178082191785E-2</v>
      </c>
      <c r="AK39" s="154">
        <f t="shared" si="79"/>
        <v>0</v>
      </c>
      <c r="AL39" s="161">
        <f t="shared" si="80"/>
        <v>587.32876712328766</v>
      </c>
      <c r="AM39" s="161">
        <f t="shared" si="81"/>
        <v>58.219178082191782</v>
      </c>
      <c r="AN39" s="161">
        <f t="shared" si="82"/>
        <v>0</v>
      </c>
      <c r="AO39" s="161"/>
      <c r="AP39" s="154">
        <f t="shared" si="83"/>
        <v>0.64554794520547942</v>
      </c>
      <c r="AQ39" s="154">
        <f t="shared" si="84"/>
        <v>0.64554794520547942</v>
      </c>
      <c r="AR39" s="154">
        <f t="shared" si="85"/>
        <v>2.2423999999999999</v>
      </c>
      <c r="AS39" s="161"/>
      <c r="AT39" s="161"/>
      <c r="AU39" s="161"/>
      <c r="AV39" s="161"/>
      <c r="AW39" s="181"/>
      <c r="AX39" s="181"/>
      <c r="AY39" s="181"/>
      <c r="AZ39" s="181"/>
      <c r="BA39" s="181"/>
      <c r="BB39" s="161"/>
      <c r="BC39" s="161"/>
      <c r="BD39" s="161"/>
      <c r="BE39" s="181"/>
      <c r="BF39" s="168"/>
      <c r="BG39" s="181"/>
      <c r="BH39" s="168"/>
      <c r="BI39" s="168"/>
      <c r="BJ39" s="161"/>
      <c r="BK39" s="168"/>
      <c r="BL39" s="168"/>
      <c r="BM39" s="168"/>
      <c r="BN39" s="168"/>
      <c r="BO39" s="168">
        <f t="shared" si="86"/>
        <v>85.162671232876718</v>
      </c>
      <c r="BP39" s="168">
        <f t="shared" si="87"/>
        <v>8.4417808219178099</v>
      </c>
      <c r="BQ39" s="168">
        <f t="shared" si="88"/>
        <v>0</v>
      </c>
      <c r="BR39" s="181"/>
      <c r="BS39" s="161"/>
      <c r="BT39" s="168"/>
      <c r="BU39" s="161"/>
      <c r="BV39" s="161"/>
      <c r="BW39" s="161"/>
      <c r="BX39" s="161"/>
      <c r="CB39" s="181">
        <f t="shared" si="89"/>
        <v>30.666427379413737</v>
      </c>
      <c r="CC39" s="181">
        <f t="shared" si="32"/>
        <v>0</v>
      </c>
      <c r="CD39" s="181">
        <f t="shared" si="32"/>
        <v>35.843304779506795</v>
      </c>
      <c r="CE39" s="181">
        <f t="shared" si="32"/>
        <v>0</v>
      </c>
      <c r="CF39" s="181">
        <f t="shared" si="32"/>
        <v>119.23025139843871</v>
      </c>
      <c r="CG39" s="181">
        <f t="shared" si="32"/>
        <v>0</v>
      </c>
      <c r="CH39" s="181">
        <f t="shared" si="32"/>
        <v>35.890158772682625</v>
      </c>
      <c r="CI39" s="181">
        <f t="shared" si="32"/>
        <v>0</v>
      </c>
      <c r="CJ39" s="182">
        <f t="shared" si="90"/>
        <v>221.63014233004185</v>
      </c>
      <c r="CK39" s="161">
        <f t="shared" si="91"/>
        <v>221.63014233004185</v>
      </c>
      <c r="CL39" s="161">
        <f t="shared" si="243"/>
        <v>529.19999999999993</v>
      </c>
      <c r="CM39" s="182">
        <f t="shared" si="92"/>
        <v>750.83014233004178</v>
      </c>
      <c r="CN39" s="157">
        <f t="shared" si="93"/>
        <v>32.136370637856075</v>
      </c>
      <c r="CO39" s="162">
        <f t="shared" si="94"/>
        <v>750.83014233004178</v>
      </c>
      <c r="FT39" s="168">
        <f t="shared" si="244"/>
        <v>2.5</v>
      </c>
      <c r="FU39" s="161">
        <f t="shared" si="245"/>
        <v>350</v>
      </c>
      <c r="FV39" s="161">
        <f t="shared" si="33"/>
        <v>525</v>
      </c>
      <c r="FW39" s="161">
        <f t="shared" si="95"/>
        <v>875</v>
      </c>
      <c r="FX39" s="161">
        <v>145.00000000000003</v>
      </c>
      <c r="FY39" s="168">
        <f t="shared" si="96"/>
        <v>2.5</v>
      </c>
      <c r="FZ39" s="161">
        <v>350</v>
      </c>
      <c r="GA39" s="161">
        <v>525</v>
      </c>
      <c r="GB39" s="161">
        <v>875</v>
      </c>
      <c r="GC39" s="168">
        <f t="shared" si="246"/>
        <v>0.56785714285714284</v>
      </c>
      <c r="GD39" s="154">
        <f t="shared" si="97"/>
        <v>21</v>
      </c>
      <c r="GE39" s="181">
        <f t="shared" si="98"/>
        <v>13.584745762711865</v>
      </c>
      <c r="GF39" s="181">
        <f t="shared" si="34"/>
        <v>2.1794794188861992</v>
      </c>
      <c r="GG39" s="154">
        <f t="shared" si="99"/>
        <v>-6.5</v>
      </c>
      <c r="GH39" s="181">
        <f t="shared" si="100"/>
        <v>6.1964285714285712</v>
      </c>
      <c r="GI39" s="181">
        <f t="shared" si="101"/>
        <v>19.9542902066487</v>
      </c>
      <c r="GJ39" s="181">
        <f t="shared" si="102"/>
        <v>19.9542902066487</v>
      </c>
      <c r="GK39" s="181">
        <f t="shared" si="103"/>
        <v>0</v>
      </c>
      <c r="GL39" s="157">
        <f t="shared" si="104"/>
        <v>807.49285714285713</v>
      </c>
      <c r="GM39" s="157">
        <f t="shared" si="105"/>
        <v>1947</v>
      </c>
      <c r="GN39" s="157">
        <f t="shared" si="106"/>
        <v>0</v>
      </c>
      <c r="GO39" s="157">
        <f t="shared" si="107"/>
        <v>1139.5071428571428</v>
      </c>
      <c r="GP39" s="157">
        <f t="shared" si="108"/>
        <v>2425.5</v>
      </c>
      <c r="GQ39" s="157">
        <f t="shared" si="109"/>
        <v>750.83014233004178</v>
      </c>
      <c r="GR39" s="157">
        <f t="shared" si="110"/>
        <v>3565.0071428571428</v>
      </c>
      <c r="GS39" s="200">
        <f t="shared" si="111"/>
        <v>1</v>
      </c>
      <c r="GT39" s="157">
        <f t="shared" si="112"/>
        <v>750.83014233004178</v>
      </c>
      <c r="GU39" s="157">
        <f t="shared" si="113"/>
        <v>645.54794520547944</v>
      </c>
      <c r="GV39" s="162">
        <f t="shared" si="114"/>
        <v>3459.7249457325806</v>
      </c>
      <c r="GW39" s="157">
        <f t="shared" si="115"/>
        <v>875</v>
      </c>
      <c r="GX39" s="157">
        <f t="shared" si="247"/>
        <v>525</v>
      </c>
      <c r="GY39" s="207">
        <f t="shared" si="35"/>
        <v>350</v>
      </c>
      <c r="GZ39" s="207">
        <f t="shared" si="116"/>
        <v>350</v>
      </c>
      <c r="HA39" s="157">
        <f t="shared" si="117"/>
        <v>350</v>
      </c>
      <c r="HB39" s="157">
        <f t="shared" si="36"/>
        <v>525</v>
      </c>
      <c r="HC39" s="157">
        <f t="shared" si="37"/>
        <v>875</v>
      </c>
      <c r="HD39" s="168">
        <f t="shared" si="38"/>
        <v>50.750000000000007</v>
      </c>
      <c r="HE39" s="168">
        <f t="shared" si="118"/>
        <v>76.125000000000014</v>
      </c>
      <c r="HF39" s="168">
        <f t="shared" si="39"/>
        <v>126.87500000000003</v>
      </c>
      <c r="HG39" s="157">
        <f t="shared" si="119"/>
        <v>2584.7249457325806</v>
      </c>
      <c r="HH39" s="168">
        <f t="shared" si="120"/>
        <v>0</v>
      </c>
      <c r="HI39" s="168">
        <f t="shared" si="121"/>
        <v>108.87037063785607</v>
      </c>
      <c r="HJ39" s="168">
        <f t="shared" si="122"/>
        <v>501.6601171312243</v>
      </c>
      <c r="HK39" s="168">
        <f t="shared" si="123"/>
        <v>374.7851171312243</v>
      </c>
      <c r="HL39" s="168">
        <f t="shared" si="124"/>
        <v>727.61695205479464</v>
      </c>
      <c r="HM39" s="157">
        <f t="shared" si="125"/>
        <v>875.00000000000011</v>
      </c>
      <c r="HN39" s="168">
        <f t="shared" si="126"/>
        <v>76.125000000000014</v>
      </c>
      <c r="HP39" s="168">
        <f t="shared" si="127"/>
        <v>282.31500000000005</v>
      </c>
      <c r="HQ39" s="168">
        <f t="shared" si="128"/>
        <v>165.22853571428575</v>
      </c>
      <c r="HR39" s="181"/>
      <c r="HU39" s="168">
        <f t="shared" si="248"/>
        <v>2.5</v>
      </c>
      <c r="HV39" s="161">
        <f t="shared" si="248"/>
        <v>350</v>
      </c>
      <c r="HW39" s="161">
        <f t="shared" si="40"/>
        <v>525</v>
      </c>
      <c r="HX39" s="161">
        <f t="shared" si="41"/>
        <v>875</v>
      </c>
      <c r="HY39" s="161">
        <v>145.00000000000003</v>
      </c>
      <c r="HZ39" s="168">
        <f t="shared" si="129"/>
        <v>2.5</v>
      </c>
      <c r="IA39" s="161">
        <v>254.12142857142854</v>
      </c>
      <c r="IB39" s="161">
        <v>381.18214285714282</v>
      </c>
      <c r="IC39" s="161">
        <v>635.30357142857133</v>
      </c>
      <c r="ID39" s="168">
        <f t="shared" si="249"/>
        <v>0.56785714285714284</v>
      </c>
      <c r="IE39" s="154">
        <f t="shared" si="130"/>
        <v>21</v>
      </c>
      <c r="IF39" s="154">
        <f t="shared" si="131"/>
        <v>-6.5</v>
      </c>
      <c r="IG39" s="181">
        <f t="shared" si="132"/>
        <v>5.3839285714285712</v>
      </c>
      <c r="IH39" s="181">
        <f t="shared" si="133"/>
        <v>10.883928571428573</v>
      </c>
      <c r="II39" s="181">
        <f t="shared" si="134"/>
        <v>0</v>
      </c>
      <c r="IJ39" s="181">
        <f t="shared" si="135"/>
        <v>20.872978436657682</v>
      </c>
      <c r="IK39" s="181">
        <f t="shared" si="136"/>
        <v>20.872978436657682</v>
      </c>
      <c r="IL39" s="181">
        <f t="shared" si="250"/>
        <v>0</v>
      </c>
      <c r="IM39" s="181">
        <f t="shared" si="137"/>
        <v>0</v>
      </c>
      <c r="IN39" s="157">
        <f t="shared" si="138"/>
        <v>1105.617857142857</v>
      </c>
      <c r="IO39" s="157">
        <f t="shared" si="139"/>
        <v>1947</v>
      </c>
      <c r="IP39" s="157">
        <f t="shared" si="42"/>
        <v>0</v>
      </c>
      <c r="IQ39" s="157">
        <f t="shared" si="43"/>
        <v>841.38214285714298</v>
      </c>
      <c r="IR39" s="157">
        <f t="shared" si="140"/>
        <v>2425.5</v>
      </c>
      <c r="IS39" s="157">
        <f t="shared" si="141"/>
        <v>750.83014233004178</v>
      </c>
      <c r="IT39" s="157">
        <f t="shared" si="142"/>
        <v>3266.8821428571428</v>
      </c>
      <c r="IU39" s="200">
        <f t="shared" si="143"/>
        <v>1</v>
      </c>
      <c r="IV39" s="157">
        <f t="shared" si="144"/>
        <v>750.83014233004178</v>
      </c>
      <c r="IW39" s="157">
        <f t="shared" si="145"/>
        <v>645.54794520547944</v>
      </c>
      <c r="IX39" s="162">
        <f t="shared" si="146"/>
        <v>3161.5999457325806</v>
      </c>
      <c r="IY39" s="157">
        <f t="shared" si="22"/>
        <v>875</v>
      </c>
      <c r="IZ39" s="157">
        <f t="shared" si="147"/>
        <v>381.18214285714282</v>
      </c>
      <c r="JA39" s="207">
        <f t="shared" si="148"/>
        <v>350</v>
      </c>
      <c r="JB39" s="207">
        <f t="shared" si="149"/>
        <v>254.12142857142854</v>
      </c>
      <c r="JC39" s="157">
        <f t="shared" si="150"/>
        <v>254.12142857142854</v>
      </c>
      <c r="JD39" s="157">
        <f t="shared" si="151"/>
        <v>381.18214285714282</v>
      </c>
      <c r="JE39" s="157">
        <f t="shared" si="152"/>
        <v>635.30357142857133</v>
      </c>
      <c r="JF39" s="168">
        <f t="shared" si="153"/>
        <v>36.84760714285715</v>
      </c>
      <c r="JG39" s="168">
        <f t="shared" si="154"/>
        <v>55.271410714285715</v>
      </c>
      <c r="JH39" s="168">
        <f t="shared" si="155"/>
        <v>92.11901785714285</v>
      </c>
      <c r="JI39" s="157">
        <f t="shared" si="156"/>
        <v>2526.2963743040091</v>
      </c>
      <c r="JJ39" s="168">
        <f t="shared" si="157"/>
        <v>0</v>
      </c>
      <c r="JK39" s="168">
        <f t="shared" si="158"/>
        <v>108.87037063785607</v>
      </c>
      <c r="JL39" s="168">
        <f t="shared" si="159"/>
        <v>458.43199213122426</v>
      </c>
      <c r="JM39" s="168">
        <f t="shared" si="160"/>
        <v>366.3129742740814</v>
      </c>
      <c r="JN39" s="168">
        <f t="shared" si="161"/>
        <v>727.61695205479464</v>
      </c>
      <c r="JO39" s="157">
        <f t="shared" si="162"/>
        <v>261.78214285714284</v>
      </c>
      <c r="JP39" s="168">
        <f t="shared" si="163"/>
        <v>55.271410714285715</v>
      </c>
      <c r="JR39" s="168">
        <f t="shared" si="164"/>
        <v>282.31500000000005</v>
      </c>
      <c r="JS39" s="168">
        <f t="shared" si="165"/>
        <v>122.00041071428575</v>
      </c>
      <c r="JT39" s="181"/>
      <c r="JW39" s="168">
        <f t="shared" ref="JW39:JX39" si="281">JW38</f>
        <v>2.5</v>
      </c>
      <c r="JX39" s="161">
        <f t="shared" si="281"/>
        <v>350</v>
      </c>
      <c r="JY39" s="161">
        <f t="shared" si="44"/>
        <v>525</v>
      </c>
      <c r="JZ39" s="161">
        <f t="shared" si="45"/>
        <v>875</v>
      </c>
      <c r="KA39" s="161">
        <v>145.00000000000003</v>
      </c>
      <c r="KB39" s="168">
        <f t="shared" si="166"/>
        <v>2.5</v>
      </c>
      <c r="KC39" s="161">
        <v>254.12142857142854</v>
      </c>
      <c r="KD39" s="161">
        <v>381.18214285714282</v>
      </c>
      <c r="KE39" s="161">
        <v>635.30357142857133</v>
      </c>
      <c r="KF39" s="168">
        <f t="shared" ref="KF39" si="282">KF38</f>
        <v>0.56785714285714284</v>
      </c>
      <c r="KG39" s="154">
        <f t="shared" si="167"/>
        <v>21</v>
      </c>
      <c r="KH39" s="154">
        <f t="shared" si="168"/>
        <v>-6.5</v>
      </c>
      <c r="KI39" s="181">
        <f t="shared" si="169"/>
        <v>5.3839285714285712</v>
      </c>
      <c r="KJ39" s="181">
        <f t="shared" si="170"/>
        <v>10.883928571428573</v>
      </c>
      <c r="KK39" s="181">
        <f t="shared" si="171"/>
        <v>0</v>
      </c>
      <c r="KL39" s="181">
        <f t="shared" si="172"/>
        <v>10.883928571428573</v>
      </c>
      <c r="KM39" s="181">
        <f t="shared" si="173"/>
        <v>15</v>
      </c>
      <c r="KN39" s="181">
        <f t="shared" si="253"/>
        <v>0</v>
      </c>
      <c r="KO39" s="181">
        <f t="shared" si="174"/>
        <v>0</v>
      </c>
      <c r="KP39" s="157">
        <f t="shared" si="175"/>
        <v>1105.617857142857</v>
      </c>
      <c r="KQ39" s="157">
        <f t="shared" si="46"/>
        <v>1947</v>
      </c>
      <c r="KR39" s="157">
        <f t="shared" si="176"/>
        <v>261.78214285714273</v>
      </c>
      <c r="KS39" s="157">
        <f t="shared" si="177"/>
        <v>579.60000000000025</v>
      </c>
      <c r="KT39" s="157">
        <f t="shared" si="178"/>
        <v>2425.5</v>
      </c>
      <c r="KU39" s="157">
        <f t="shared" si="179"/>
        <v>750.83014233004178</v>
      </c>
      <c r="KV39" s="157">
        <f t="shared" si="180"/>
        <v>3005.1000000000004</v>
      </c>
      <c r="KW39" s="200">
        <f t="shared" si="181"/>
        <v>1</v>
      </c>
      <c r="KX39" s="157">
        <f t="shared" si="182"/>
        <v>750.83014233004178</v>
      </c>
      <c r="KY39" s="157">
        <f t="shared" si="183"/>
        <v>645.54794520547944</v>
      </c>
      <c r="KZ39" s="162">
        <f t="shared" si="47"/>
        <v>3161.5999457325806</v>
      </c>
      <c r="LA39" s="157">
        <f t="shared" si="184"/>
        <v>875</v>
      </c>
      <c r="LB39" s="157">
        <f t="shared" si="185"/>
        <v>381.18214285714282</v>
      </c>
      <c r="LC39" s="207">
        <f t="shared" si="186"/>
        <v>350</v>
      </c>
      <c r="LD39" s="207">
        <f t="shared" si="187"/>
        <v>254.12142857142854</v>
      </c>
      <c r="LE39" s="157">
        <f t="shared" si="188"/>
        <v>254.12142857142854</v>
      </c>
      <c r="LF39" s="157">
        <f t="shared" si="189"/>
        <v>381.18214285714282</v>
      </c>
      <c r="LG39" s="157">
        <f t="shared" si="190"/>
        <v>635.30357142857133</v>
      </c>
      <c r="LH39" s="168">
        <f t="shared" si="191"/>
        <v>36.84760714285715</v>
      </c>
      <c r="LI39" s="168">
        <f t="shared" si="192"/>
        <v>55.271410714285715</v>
      </c>
      <c r="LJ39" s="168">
        <f t="shared" si="193"/>
        <v>92.11901785714285</v>
      </c>
      <c r="LK39" s="157">
        <f t="shared" si="194"/>
        <v>2526.2963743040091</v>
      </c>
      <c r="LL39" s="168">
        <f t="shared" si="195"/>
        <v>37.958410714285705</v>
      </c>
      <c r="LM39" s="168">
        <f t="shared" si="196"/>
        <v>108.87037063785607</v>
      </c>
      <c r="LN39" s="168">
        <f t="shared" si="197"/>
        <v>458.43199213122426</v>
      </c>
      <c r="LO39" s="168">
        <f t="shared" si="198"/>
        <v>366.3129742740814</v>
      </c>
      <c r="LP39" s="168">
        <f t="shared" si="199"/>
        <v>727.61695205479464</v>
      </c>
      <c r="LQ39" s="157">
        <f t="shared" si="200"/>
        <v>261.78214285714284</v>
      </c>
      <c r="LR39" s="168">
        <f t="shared" si="201"/>
        <v>55.271410714285715</v>
      </c>
      <c r="LT39" s="168">
        <f t="shared" si="202"/>
        <v>282.31500000000005</v>
      </c>
      <c r="LU39" s="168">
        <f t="shared" si="203"/>
        <v>122.00041071428575</v>
      </c>
      <c r="LV39" s="181"/>
      <c r="LY39" s="168">
        <f t="shared" si="254"/>
        <v>2.5</v>
      </c>
      <c r="LZ39" s="161">
        <f t="shared" si="254"/>
        <v>350</v>
      </c>
      <c r="MA39" s="161">
        <f t="shared" si="48"/>
        <v>525</v>
      </c>
      <c r="MB39" s="161">
        <f t="shared" si="49"/>
        <v>875</v>
      </c>
      <c r="MC39" s="161">
        <v>145.00000000000003</v>
      </c>
      <c r="MD39" s="168">
        <f t="shared" si="204"/>
        <v>2.5</v>
      </c>
      <c r="ME39" s="161">
        <v>350</v>
      </c>
      <c r="MF39" s="161">
        <v>525</v>
      </c>
      <c r="MG39" s="161">
        <v>875</v>
      </c>
      <c r="MH39" s="168">
        <f t="shared" si="255"/>
        <v>0.56785714285714284</v>
      </c>
      <c r="MI39" s="154">
        <f t="shared" si="205"/>
        <v>21</v>
      </c>
      <c r="MJ39" s="181">
        <f t="shared" si="206"/>
        <v>13.584745762711865</v>
      </c>
      <c r="MK39" s="181">
        <f t="shared" si="207"/>
        <v>2.1794794188861992</v>
      </c>
      <c r="ML39" s="154">
        <f t="shared" si="208"/>
        <v>-6.5</v>
      </c>
      <c r="MM39" s="181">
        <f t="shared" si="209"/>
        <v>6.1964285714285712</v>
      </c>
      <c r="MN39" s="181">
        <f t="shared" si="210"/>
        <v>6.1964285714285712</v>
      </c>
      <c r="MO39" s="181">
        <f t="shared" si="211"/>
        <v>15</v>
      </c>
      <c r="MP39" s="181">
        <f t="shared" si="212"/>
        <v>0</v>
      </c>
      <c r="MQ39" s="157">
        <f t="shared" si="50"/>
        <v>807.49285714285713</v>
      </c>
      <c r="MR39" s="157">
        <f t="shared" si="213"/>
        <v>1947</v>
      </c>
      <c r="MS39" s="157">
        <f t="shared" si="214"/>
        <v>559.90714285714284</v>
      </c>
      <c r="MT39" s="157">
        <f t="shared" si="215"/>
        <v>579.59999999999991</v>
      </c>
      <c r="MU39" s="157">
        <f t="shared" si="216"/>
        <v>2425.5</v>
      </c>
      <c r="MV39" s="157">
        <f t="shared" si="217"/>
        <v>750.83014233004178</v>
      </c>
      <c r="MW39" s="157">
        <f t="shared" si="218"/>
        <v>3005.1</v>
      </c>
      <c r="MX39" s="200">
        <f t="shared" si="219"/>
        <v>1</v>
      </c>
      <c r="MY39" s="157">
        <f t="shared" si="220"/>
        <v>750.83014233004178</v>
      </c>
      <c r="MZ39" s="157">
        <f t="shared" si="221"/>
        <v>645.54794520547944</v>
      </c>
      <c r="NA39" s="162">
        <f t="shared" si="222"/>
        <v>3459.7249457325806</v>
      </c>
      <c r="NB39" s="157">
        <f t="shared" si="223"/>
        <v>875</v>
      </c>
      <c r="NC39" s="157">
        <f t="shared" si="224"/>
        <v>525</v>
      </c>
      <c r="ND39" s="207">
        <f t="shared" si="51"/>
        <v>350</v>
      </c>
      <c r="NE39" s="207">
        <f t="shared" si="225"/>
        <v>350</v>
      </c>
      <c r="NF39" s="157">
        <f t="shared" si="226"/>
        <v>350</v>
      </c>
      <c r="NG39" s="157">
        <f t="shared" si="52"/>
        <v>525</v>
      </c>
      <c r="NH39" s="157">
        <f t="shared" si="53"/>
        <v>875</v>
      </c>
      <c r="NI39" s="168">
        <f t="shared" si="227"/>
        <v>50.750000000000007</v>
      </c>
      <c r="NJ39" s="168">
        <f t="shared" si="228"/>
        <v>76.125000000000014</v>
      </c>
      <c r="NK39" s="168">
        <f t="shared" si="229"/>
        <v>126.87500000000003</v>
      </c>
      <c r="NL39" s="157">
        <f t="shared" si="230"/>
        <v>2584.7249457325806</v>
      </c>
      <c r="NM39" s="168">
        <f t="shared" si="231"/>
        <v>81.186535714285725</v>
      </c>
      <c r="NN39" s="168">
        <f t="shared" si="232"/>
        <v>108.87037063785607</v>
      </c>
      <c r="NO39" s="168">
        <f t="shared" si="233"/>
        <v>501.6601171312243</v>
      </c>
      <c r="NP39" s="168">
        <f t="shared" si="234"/>
        <v>374.7851171312243</v>
      </c>
      <c r="NQ39" s="168">
        <f t="shared" si="235"/>
        <v>727.61695205479464</v>
      </c>
      <c r="NR39" s="157">
        <f t="shared" si="236"/>
        <v>559.90714285714273</v>
      </c>
      <c r="NS39" s="168">
        <f t="shared" si="237"/>
        <v>76.125000000000014</v>
      </c>
      <c r="NT39" s="157">
        <f t="shared" si="238"/>
        <v>5018.0479452054797</v>
      </c>
      <c r="NU39" s="168">
        <f t="shared" si="239"/>
        <v>282.31500000000005</v>
      </c>
      <c r="NV39" s="168">
        <f t="shared" si="240"/>
        <v>165.22853571428575</v>
      </c>
      <c r="NW39" s="181"/>
      <c r="NX39" s="157"/>
      <c r="NY39" s="157"/>
      <c r="NZ39" s="157"/>
      <c r="OA39" s="157"/>
      <c r="OB39" s="157"/>
    </row>
    <row r="40" spans="1:392" ht="13" x14ac:dyDescent="0.3">
      <c r="A40" s="154">
        <v>11.997716894977168</v>
      </c>
      <c r="B40" s="154">
        <v>-5.5</v>
      </c>
      <c r="C40" s="154">
        <f t="shared" si="241"/>
        <v>-5.5</v>
      </c>
      <c r="D40" s="154">
        <v>5187.5999999999985</v>
      </c>
      <c r="E40" s="200">
        <f t="shared" si="242"/>
        <v>31.439999999999991</v>
      </c>
      <c r="F40" s="181">
        <f t="shared" si="54"/>
        <v>2337.3000000000002</v>
      </c>
      <c r="G40" s="161">
        <f t="shared" si="258"/>
        <v>165</v>
      </c>
      <c r="H40" s="154">
        <f t="shared" si="55"/>
        <v>2.3373000000000004</v>
      </c>
      <c r="I40" s="161">
        <f t="shared" si="56"/>
        <v>4372.5</v>
      </c>
      <c r="J40" s="181">
        <f t="shared" si="57"/>
        <v>21</v>
      </c>
      <c r="K40" s="181">
        <f t="shared" si="58"/>
        <v>13.584745762711865</v>
      </c>
      <c r="L40" s="181">
        <f t="shared" si="59"/>
        <v>2.7473365617433423</v>
      </c>
      <c r="M40" s="181">
        <f t="shared" si="60"/>
        <v>-5.5</v>
      </c>
      <c r="N40" s="181">
        <f t="shared" si="61"/>
        <v>6.5642857142857132</v>
      </c>
      <c r="O40" s="181">
        <f t="shared" si="62"/>
        <v>6.5642857142857132</v>
      </c>
      <c r="P40" s="181">
        <f t="shared" si="63"/>
        <v>15</v>
      </c>
      <c r="Q40" s="181">
        <f t="shared" si="64"/>
        <v>12.067430368373763</v>
      </c>
      <c r="R40" s="168">
        <f t="shared" si="65"/>
        <v>144.375</v>
      </c>
      <c r="S40" s="161">
        <f t="shared" si="66"/>
        <v>680.04520414301214</v>
      </c>
      <c r="T40" s="161">
        <f t="shared" si="67"/>
        <v>70.900124924614474</v>
      </c>
      <c r="U40" s="161">
        <f t="shared" si="68"/>
        <v>59.303240341434361</v>
      </c>
      <c r="V40" s="154">
        <f t="shared" si="69"/>
        <v>0.53651142857142864</v>
      </c>
      <c r="W40" s="154">
        <f t="shared" si="70"/>
        <v>2.4791975142866529</v>
      </c>
      <c r="X40" s="154">
        <f t="shared" si="71"/>
        <v>4.1214860857152251</v>
      </c>
      <c r="Y40" s="154">
        <f t="shared" si="72"/>
        <v>4.8590479452054796</v>
      </c>
      <c r="Z40" s="154">
        <f t="shared" si="73"/>
        <v>1.8761999999999999</v>
      </c>
      <c r="AA40" s="154">
        <f t="shared" si="74"/>
        <v>0.73756185949025477</v>
      </c>
      <c r="AB40" s="154">
        <f t="shared" si="26"/>
        <v>3.3541975142866542</v>
      </c>
      <c r="AC40" s="154">
        <f t="shared" si="27"/>
        <v>0.64554794520547942</v>
      </c>
      <c r="AD40" s="154">
        <f t="shared" si="28"/>
        <v>0.35</v>
      </c>
      <c r="AE40" s="154">
        <f t="shared" si="29"/>
        <v>0.52500000000000002</v>
      </c>
      <c r="AF40" s="154">
        <f t="shared" si="30"/>
        <v>0.875</v>
      </c>
      <c r="AG40" s="154">
        <f t="shared" si="75"/>
        <v>0.76728857142857132</v>
      </c>
      <c r="AH40" s="154">
        <f t="shared" si="76"/>
        <v>1.6422885714285713</v>
      </c>
      <c r="AI40" s="154">
        <f t="shared" si="77"/>
        <v>0.58732876712328763</v>
      </c>
      <c r="AJ40" s="154">
        <f t="shared" si="78"/>
        <v>5.8219178082191785E-2</v>
      </c>
      <c r="AK40" s="154">
        <f t="shared" si="79"/>
        <v>0</v>
      </c>
      <c r="AL40" s="161">
        <f t="shared" si="80"/>
        <v>587.32876712328766</v>
      </c>
      <c r="AM40" s="161">
        <f t="shared" si="81"/>
        <v>58.219178082191782</v>
      </c>
      <c r="AN40" s="161">
        <f t="shared" si="82"/>
        <v>0</v>
      </c>
      <c r="AO40" s="161"/>
      <c r="AP40" s="154">
        <f t="shared" si="83"/>
        <v>0.64554794520547942</v>
      </c>
      <c r="AQ40" s="154">
        <f t="shared" si="84"/>
        <v>0.64554794520547942</v>
      </c>
      <c r="AR40" s="154">
        <f t="shared" si="85"/>
        <v>2.1787999999999998</v>
      </c>
      <c r="AS40" s="161"/>
      <c r="AT40" s="161"/>
      <c r="AU40" s="161"/>
      <c r="AV40" s="161"/>
      <c r="AW40" s="181"/>
      <c r="AX40" s="181"/>
      <c r="AY40" s="181"/>
      <c r="AZ40" s="181"/>
      <c r="BA40" s="181"/>
      <c r="BB40" s="161"/>
      <c r="BC40" s="161"/>
      <c r="BD40" s="161"/>
      <c r="BE40" s="181"/>
      <c r="BF40" s="168"/>
      <c r="BG40" s="181"/>
      <c r="BH40" s="168"/>
      <c r="BI40" s="168"/>
      <c r="BJ40" s="161"/>
      <c r="BK40" s="168"/>
      <c r="BL40" s="168"/>
      <c r="BM40" s="168"/>
      <c r="BN40" s="168"/>
      <c r="BO40" s="168">
        <f t="shared" si="86"/>
        <v>96.909246575342465</v>
      </c>
      <c r="BP40" s="168">
        <f t="shared" si="87"/>
        <v>9.6061643835616444</v>
      </c>
      <c r="BQ40" s="168">
        <f t="shared" si="88"/>
        <v>0</v>
      </c>
      <c r="BR40" s="181"/>
      <c r="BS40" s="161"/>
      <c r="BT40" s="168"/>
      <c r="BU40" s="161"/>
      <c r="BV40" s="161"/>
      <c r="BW40" s="161"/>
      <c r="BX40" s="161"/>
      <c r="CB40" s="181">
        <f t="shared" si="89"/>
        <v>28.830527136431773</v>
      </c>
      <c r="CC40" s="181">
        <f t="shared" si="89"/>
        <v>0</v>
      </c>
      <c r="CD40" s="181">
        <f t="shared" si="89"/>
        <v>33.697481559220378</v>
      </c>
      <c r="CE40" s="181">
        <f t="shared" si="89"/>
        <v>0</v>
      </c>
      <c r="CF40" s="181">
        <f t="shared" si="89"/>
        <v>112.09232023988002</v>
      </c>
      <c r="CG40" s="181">
        <f t="shared" si="89"/>
        <v>0</v>
      </c>
      <c r="CH40" s="181">
        <f t="shared" si="89"/>
        <v>33.74153055472263</v>
      </c>
      <c r="CI40" s="181">
        <f t="shared" si="89"/>
        <v>0</v>
      </c>
      <c r="CJ40" s="182">
        <f t="shared" si="90"/>
        <v>208.3618594902548</v>
      </c>
      <c r="CK40" s="161">
        <f t="shared" si="91"/>
        <v>208.3618594902548</v>
      </c>
      <c r="CL40" s="161">
        <f t="shared" si="243"/>
        <v>529.19999999999993</v>
      </c>
      <c r="CM40" s="182">
        <f t="shared" si="92"/>
        <v>737.56185949025473</v>
      </c>
      <c r="CN40" s="157">
        <f t="shared" si="93"/>
        <v>34.379706815892042</v>
      </c>
      <c r="CO40" s="162">
        <f t="shared" si="94"/>
        <v>737.56185949025473</v>
      </c>
      <c r="FT40" s="168">
        <f t="shared" si="244"/>
        <v>2.5</v>
      </c>
      <c r="FU40" s="161">
        <f t="shared" si="245"/>
        <v>350</v>
      </c>
      <c r="FV40" s="161">
        <f t="shared" si="33"/>
        <v>525</v>
      </c>
      <c r="FW40" s="161">
        <f t="shared" si="95"/>
        <v>875</v>
      </c>
      <c r="FX40" s="161">
        <v>165</v>
      </c>
      <c r="FY40" s="168">
        <f t="shared" si="96"/>
        <v>2.5</v>
      </c>
      <c r="FZ40" s="161">
        <v>350</v>
      </c>
      <c r="GA40" s="161">
        <v>525</v>
      </c>
      <c r="GB40" s="161">
        <v>875</v>
      </c>
      <c r="GC40" s="168">
        <f t="shared" si="246"/>
        <v>0.56785714285714284</v>
      </c>
      <c r="GD40" s="154">
        <f t="shared" si="97"/>
        <v>21</v>
      </c>
      <c r="GE40" s="181">
        <f t="shared" si="98"/>
        <v>13.584745762711865</v>
      </c>
      <c r="GF40" s="181">
        <f t="shared" si="34"/>
        <v>2.7473365617433423</v>
      </c>
      <c r="GG40" s="154">
        <f t="shared" si="99"/>
        <v>-5.5</v>
      </c>
      <c r="GH40" s="181">
        <f t="shared" si="100"/>
        <v>6.5642857142857132</v>
      </c>
      <c r="GI40" s="181">
        <f t="shared" si="101"/>
        <v>20.32214734950584</v>
      </c>
      <c r="GJ40" s="181">
        <f t="shared" si="102"/>
        <v>20.32214734950584</v>
      </c>
      <c r="GK40" s="181">
        <f t="shared" si="103"/>
        <v>0</v>
      </c>
      <c r="GL40" s="157">
        <f t="shared" si="104"/>
        <v>767.28857142857134</v>
      </c>
      <c r="GM40" s="157">
        <f t="shared" si="105"/>
        <v>1876.1999999999998</v>
      </c>
      <c r="GN40" s="157">
        <f t="shared" si="106"/>
        <v>0</v>
      </c>
      <c r="GO40" s="157">
        <f t="shared" si="107"/>
        <v>1108.9114285714286</v>
      </c>
      <c r="GP40" s="157">
        <f t="shared" si="108"/>
        <v>2337.3000000000002</v>
      </c>
      <c r="GQ40" s="157">
        <f t="shared" si="109"/>
        <v>737.56185949025473</v>
      </c>
      <c r="GR40" s="157">
        <f t="shared" si="110"/>
        <v>3446.2114285714288</v>
      </c>
      <c r="GS40" s="200">
        <f t="shared" si="111"/>
        <v>1</v>
      </c>
      <c r="GT40" s="157">
        <f t="shared" si="112"/>
        <v>737.56185949025473</v>
      </c>
      <c r="GU40" s="157">
        <f t="shared" si="113"/>
        <v>645.54794520547944</v>
      </c>
      <c r="GV40" s="162">
        <f t="shared" si="114"/>
        <v>3354.197514286654</v>
      </c>
      <c r="GW40" s="157">
        <f t="shared" si="115"/>
        <v>875</v>
      </c>
      <c r="GX40" s="157">
        <f t="shared" si="247"/>
        <v>525</v>
      </c>
      <c r="GY40" s="207">
        <f t="shared" si="35"/>
        <v>350</v>
      </c>
      <c r="GZ40" s="207">
        <f t="shared" si="116"/>
        <v>350</v>
      </c>
      <c r="HA40" s="157">
        <f t="shared" si="117"/>
        <v>350</v>
      </c>
      <c r="HB40" s="157">
        <f t="shared" si="36"/>
        <v>525</v>
      </c>
      <c r="HC40" s="157">
        <f t="shared" si="37"/>
        <v>875</v>
      </c>
      <c r="HD40" s="168">
        <f t="shared" si="38"/>
        <v>57.749999999999993</v>
      </c>
      <c r="HE40" s="168">
        <f t="shared" si="118"/>
        <v>86.625</v>
      </c>
      <c r="HF40" s="168">
        <f t="shared" si="39"/>
        <v>144.375</v>
      </c>
      <c r="HG40" s="157">
        <f t="shared" si="119"/>
        <v>2479.197514286654</v>
      </c>
      <c r="HH40" s="168">
        <f t="shared" si="120"/>
        <v>0</v>
      </c>
      <c r="HI40" s="168">
        <f t="shared" si="121"/>
        <v>121.69770681589203</v>
      </c>
      <c r="HJ40" s="168">
        <f t="shared" si="122"/>
        <v>553.442589857298</v>
      </c>
      <c r="HK40" s="168">
        <f t="shared" si="123"/>
        <v>409.06758985729795</v>
      </c>
      <c r="HL40" s="168">
        <f t="shared" si="124"/>
        <v>801.74291095890408</v>
      </c>
      <c r="HM40" s="157">
        <f t="shared" si="125"/>
        <v>874.99999999999989</v>
      </c>
      <c r="HN40" s="168">
        <f t="shared" si="126"/>
        <v>86.625</v>
      </c>
      <c r="HP40" s="168">
        <f t="shared" si="127"/>
        <v>309.57299999999998</v>
      </c>
      <c r="HQ40" s="168">
        <f t="shared" si="128"/>
        <v>182.9703857142857</v>
      </c>
      <c r="HR40" s="181"/>
      <c r="HU40" s="168">
        <f t="shared" si="248"/>
        <v>2.5</v>
      </c>
      <c r="HV40" s="161">
        <f t="shared" si="248"/>
        <v>350</v>
      </c>
      <c r="HW40" s="161">
        <f t="shared" si="40"/>
        <v>525</v>
      </c>
      <c r="HX40" s="161">
        <f t="shared" si="41"/>
        <v>875</v>
      </c>
      <c r="HY40" s="161">
        <v>165</v>
      </c>
      <c r="HZ40" s="168">
        <f t="shared" si="129"/>
        <v>2.5</v>
      </c>
      <c r="IA40" s="161">
        <v>280.9242857142857</v>
      </c>
      <c r="IB40" s="161">
        <v>421.38642857142855</v>
      </c>
      <c r="IC40" s="161">
        <v>702.31071428571431</v>
      </c>
      <c r="ID40" s="168">
        <f t="shared" si="249"/>
        <v>0.56785714285714284</v>
      </c>
      <c r="IE40" s="154">
        <f t="shared" si="130"/>
        <v>21</v>
      </c>
      <c r="IF40" s="154">
        <f t="shared" si="131"/>
        <v>-5.5</v>
      </c>
      <c r="IG40" s="181">
        <f t="shared" si="132"/>
        <v>5.9517857142857142</v>
      </c>
      <c r="IH40" s="181">
        <f t="shared" si="133"/>
        <v>11.251785714285713</v>
      </c>
      <c r="II40" s="181">
        <f t="shared" si="134"/>
        <v>0</v>
      </c>
      <c r="IJ40" s="181">
        <f t="shared" si="135"/>
        <v>22.294407008086253</v>
      </c>
      <c r="IK40" s="181">
        <f t="shared" si="136"/>
        <v>22.294407008086253</v>
      </c>
      <c r="IL40" s="181">
        <f t="shared" si="250"/>
        <v>0</v>
      </c>
      <c r="IM40" s="181">
        <f t="shared" si="137"/>
        <v>0</v>
      </c>
      <c r="IN40" s="157">
        <f t="shared" si="138"/>
        <v>1065.4135714285715</v>
      </c>
      <c r="IO40" s="157">
        <f t="shared" si="139"/>
        <v>1876.1999999999998</v>
      </c>
      <c r="IP40" s="157">
        <f t="shared" si="42"/>
        <v>0</v>
      </c>
      <c r="IQ40" s="157">
        <f t="shared" si="43"/>
        <v>810.78642857142836</v>
      </c>
      <c r="IR40" s="157">
        <f t="shared" si="140"/>
        <v>2337.3000000000002</v>
      </c>
      <c r="IS40" s="157">
        <f t="shared" si="141"/>
        <v>737.56185949025473</v>
      </c>
      <c r="IT40" s="157">
        <f t="shared" si="142"/>
        <v>3148.0864285714288</v>
      </c>
      <c r="IU40" s="200">
        <f t="shared" si="143"/>
        <v>1</v>
      </c>
      <c r="IV40" s="157">
        <f t="shared" si="144"/>
        <v>737.56185949025473</v>
      </c>
      <c r="IW40" s="157">
        <f t="shared" si="145"/>
        <v>645.54794520547944</v>
      </c>
      <c r="IX40" s="162">
        <f t="shared" si="146"/>
        <v>3056.072514286654</v>
      </c>
      <c r="IY40" s="157">
        <f t="shared" si="22"/>
        <v>875</v>
      </c>
      <c r="IZ40" s="157">
        <f t="shared" si="147"/>
        <v>421.38642857142855</v>
      </c>
      <c r="JA40" s="207">
        <f t="shared" si="148"/>
        <v>350</v>
      </c>
      <c r="JB40" s="207">
        <f t="shared" si="149"/>
        <v>280.9242857142857</v>
      </c>
      <c r="JC40" s="157">
        <f t="shared" si="150"/>
        <v>280.9242857142857</v>
      </c>
      <c r="JD40" s="157">
        <f t="shared" si="151"/>
        <v>421.38642857142855</v>
      </c>
      <c r="JE40" s="157">
        <f t="shared" si="152"/>
        <v>702.31071428571431</v>
      </c>
      <c r="JF40" s="168">
        <f t="shared" si="153"/>
        <v>46.352507142857135</v>
      </c>
      <c r="JG40" s="168">
        <f t="shared" si="154"/>
        <v>69.52876071428571</v>
      </c>
      <c r="JH40" s="168">
        <f t="shared" si="155"/>
        <v>115.88126785714287</v>
      </c>
      <c r="JI40" s="157">
        <f t="shared" si="156"/>
        <v>2353.7618000009397</v>
      </c>
      <c r="JJ40" s="168">
        <f t="shared" si="157"/>
        <v>0</v>
      </c>
      <c r="JK40" s="168">
        <f t="shared" si="158"/>
        <v>121.69770681589203</v>
      </c>
      <c r="JL40" s="168">
        <f t="shared" si="159"/>
        <v>504.25196485729793</v>
      </c>
      <c r="JM40" s="168">
        <f t="shared" si="160"/>
        <v>388.37069700015508</v>
      </c>
      <c r="JN40" s="168">
        <f t="shared" si="161"/>
        <v>801.74291095890408</v>
      </c>
      <c r="JO40" s="157">
        <f t="shared" si="162"/>
        <v>238.3864285714285</v>
      </c>
      <c r="JP40" s="168">
        <f t="shared" si="163"/>
        <v>69.52876071428571</v>
      </c>
      <c r="JR40" s="168">
        <f t="shared" si="164"/>
        <v>309.57299999999998</v>
      </c>
      <c r="JS40" s="168">
        <f t="shared" si="165"/>
        <v>133.77976071428569</v>
      </c>
      <c r="JT40" s="181"/>
      <c r="JW40" s="168">
        <f t="shared" ref="JW40:JX40" si="283">JW39</f>
        <v>2.5</v>
      </c>
      <c r="JX40" s="161">
        <f t="shared" si="283"/>
        <v>350</v>
      </c>
      <c r="JY40" s="161">
        <f t="shared" si="44"/>
        <v>525</v>
      </c>
      <c r="JZ40" s="161">
        <f t="shared" si="45"/>
        <v>875</v>
      </c>
      <c r="KA40" s="161">
        <v>165</v>
      </c>
      <c r="KB40" s="168">
        <f t="shared" si="166"/>
        <v>2.5</v>
      </c>
      <c r="KC40" s="161">
        <v>280.9242857142857</v>
      </c>
      <c r="KD40" s="161">
        <v>421.38642857142855</v>
      </c>
      <c r="KE40" s="161">
        <v>702.31071428571431</v>
      </c>
      <c r="KF40" s="168">
        <f t="shared" ref="KF40" si="284">KF39</f>
        <v>0.56785714285714284</v>
      </c>
      <c r="KG40" s="154">
        <f t="shared" si="167"/>
        <v>21</v>
      </c>
      <c r="KH40" s="154">
        <f t="shared" si="168"/>
        <v>-5.5</v>
      </c>
      <c r="KI40" s="181">
        <f t="shared" si="169"/>
        <v>5.9517857142857142</v>
      </c>
      <c r="KJ40" s="181">
        <f t="shared" si="170"/>
        <v>11.251785714285713</v>
      </c>
      <c r="KK40" s="181">
        <f t="shared" si="171"/>
        <v>0</v>
      </c>
      <c r="KL40" s="181">
        <f t="shared" si="172"/>
        <v>11.251785714285713</v>
      </c>
      <c r="KM40" s="181">
        <f t="shared" si="173"/>
        <v>15</v>
      </c>
      <c r="KN40" s="181">
        <f t="shared" si="253"/>
        <v>0</v>
      </c>
      <c r="KO40" s="181">
        <f t="shared" si="174"/>
        <v>0</v>
      </c>
      <c r="KP40" s="157">
        <f t="shared" si="175"/>
        <v>1065.4135714285715</v>
      </c>
      <c r="KQ40" s="157">
        <f t="shared" si="46"/>
        <v>1876.1999999999998</v>
      </c>
      <c r="KR40" s="157">
        <f t="shared" si="176"/>
        <v>238.38642857142861</v>
      </c>
      <c r="KS40" s="157">
        <f t="shared" si="177"/>
        <v>572.39999999999975</v>
      </c>
      <c r="KT40" s="157">
        <f t="shared" si="178"/>
        <v>2337.3000000000002</v>
      </c>
      <c r="KU40" s="157">
        <f t="shared" si="179"/>
        <v>737.56185949025473</v>
      </c>
      <c r="KV40" s="157">
        <f t="shared" si="180"/>
        <v>2909.7</v>
      </c>
      <c r="KW40" s="200">
        <f t="shared" si="181"/>
        <v>1</v>
      </c>
      <c r="KX40" s="157">
        <f t="shared" si="182"/>
        <v>737.56185949025473</v>
      </c>
      <c r="KY40" s="157">
        <f t="shared" si="183"/>
        <v>645.54794520547944</v>
      </c>
      <c r="KZ40" s="162">
        <f t="shared" si="47"/>
        <v>3056.072514286654</v>
      </c>
      <c r="LA40" s="157">
        <f t="shared" si="184"/>
        <v>875</v>
      </c>
      <c r="LB40" s="157">
        <f t="shared" si="185"/>
        <v>421.38642857142855</v>
      </c>
      <c r="LC40" s="207">
        <f t="shared" si="186"/>
        <v>350</v>
      </c>
      <c r="LD40" s="207">
        <f t="shared" si="187"/>
        <v>280.9242857142857</v>
      </c>
      <c r="LE40" s="157">
        <f t="shared" si="188"/>
        <v>280.9242857142857</v>
      </c>
      <c r="LF40" s="157">
        <f t="shared" si="189"/>
        <v>421.38642857142855</v>
      </c>
      <c r="LG40" s="157">
        <f t="shared" si="190"/>
        <v>702.31071428571431</v>
      </c>
      <c r="LH40" s="168">
        <f t="shared" si="191"/>
        <v>46.352507142857135</v>
      </c>
      <c r="LI40" s="168">
        <f t="shared" si="192"/>
        <v>69.52876071428571</v>
      </c>
      <c r="LJ40" s="168">
        <f t="shared" si="193"/>
        <v>115.88126785714287</v>
      </c>
      <c r="LK40" s="157">
        <f t="shared" si="194"/>
        <v>2353.7618000009397</v>
      </c>
      <c r="LL40" s="168">
        <f t="shared" si="195"/>
        <v>39.333760714285724</v>
      </c>
      <c r="LM40" s="168">
        <f t="shared" si="196"/>
        <v>121.69770681589203</v>
      </c>
      <c r="LN40" s="168">
        <f t="shared" si="197"/>
        <v>504.25196485729793</v>
      </c>
      <c r="LO40" s="168">
        <f t="shared" si="198"/>
        <v>388.37069700015508</v>
      </c>
      <c r="LP40" s="168">
        <f t="shared" si="199"/>
        <v>801.74291095890408</v>
      </c>
      <c r="LQ40" s="157">
        <f t="shared" si="200"/>
        <v>238.3864285714285</v>
      </c>
      <c r="LR40" s="168">
        <f t="shared" si="201"/>
        <v>69.52876071428571</v>
      </c>
      <c r="LT40" s="168">
        <f t="shared" si="202"/>
        <v>309.57299999999998</v>
      </c>
      <c r="LU40" s="168">
        <f t="shared" si="203"/>
        <v>133.77976071428569</v>
      </c>
      <c r="LV40" s="181"/>
      <c r="LY40" s="168">
        <f t="shared" si="254"/>
        <v>2.5</v>
      </c>
      <c r="LZ40" s="161">
        <f t="shared" si="254"/>
        <v>350</v>
      </c>
      <c r="MA40" s="161">
        <f t="shared" si="48"/>
        <v>525</v>
      </c>
      <c r="MB40" s="161">
        <f t="shared" si="49"/>
        <v>875</v>
      </c>
      <c r="MC40" s="161">
        <v>165</v>
      </c>
      <c r="MD40" s="168">
        <f t="shared" si="204"/>
        <v>2.5</v>
      </c>
      <c r="ME40" s="161">
        <v>350</v>
      </c>
      <c r="MF40" s="161">
        <v>525</v>
      </c>
      <c r="MG40" s="161">
        <v>875</v>
      </c>
      <c r="MH40" s="168">
        <f t="shared" si="255"/>
        <v>0.56785714285714284</v>
      </c>
      <c r="MI40" s="154">
        <f t="shared" si="205"/>
        <v>21</v>
      </c>
      <c r="MJ40" s="181">
        <f t="shared" si="206"/>
        <v>13.584745762711865</v>
      </c>
      <c r="MK40" s="181">
        <f t="shared" si="207"/>
        <v>2.7473365617433423</v>
      </c>
      <c r="ML40" s="154">
        <f t="shared" si="208"/>
        <v>-5.5</v>
      </c>
      <c r="MM40" s="181">
        <f t="shared" si="209"/>
        <v>6.5642857142857132</v>
      </c>
      <c r="MN40" s="181">
        <f t="shared" si="210"/>
        <v>6.5642857142857132</v>
      </c>
      <c r="MO40" s="181">
        <f t="shared" si="211"/>
        <v>15</v>
      </c>
      <c r="MP40" s="181">
        <f t="shared" si="212"/>
        <v>0</v>
      </c>
      <c r="MQ40" s="157">
        <f t="shared" si="50"/>
        <v>767.28857142857134</v>
      </c>
      <c r="MR40" s="157">
        <f t="shared" si="213"/>
        <v>1876.1999999999998</v>
      </c>
      <c r="MS40" s="157">
        <f t="shared" si="214"/>
        <v>536.51142857142861</v>
      </c>
      <c r="MT40" s="157">
        <f t="shared" si="215"/>
        <v>572.4</v>
      </c>
      <c r="MU40" s="157">
        <f t="shared" si="216"/>
        <v>2337.3000000000002</v>
      </c>
      <c r="MV40" s="157">
        <f t="shared" si="217"/>
        <v>737.56185949025473</v>
      </c>
      <c r="MW40" s="157">
        <f t="shared" si="218"/>
        <v>2909.7000000000003</v>
      </c>
      <c r="MX40" s="200">
        <f t="shared" si="219"/>
        <v>1</v>
      </c>
      <c r="MY40" s="157">
        <f t="shared" si="220"/>
        <v>737.56185949025473</v>
      </c>
      <c r="MZ40" s="157">
        <f t="shared" si="221"/>
        <v>645.54794520547944</v>
      </c>
      <c r="NA40" s="162">
        <f t="shared" si="222"/>
        <v>3354.197514286654</v>
      </c>
      <c r="NB40" s="157">
        <f t="shared" si="223"/>
        <v>875</v>
      </c>
      <c r="NC40" s="157">
        <f t="shared" si="224"/>
        <v>525</v>
      </c>
      <c r="ND40" s="207">
        <f t="shared" si="51"/>
        <v>350</v>
      </c>
      <c r="NE40" s="207">
        <f t="shared" si="225"/>
        <v>350</v>
      </c>
      <c r="NF40" s="157">
        <f t="shared" si="226"/>
        <v>350</v>
      </c>
      <c r="NG40" s="157">
        <f t="shared" si="52"/>
        <v>525</v>
      </c>
      <c r="NH40" s="157">
        <f t="shared" si="53"/>
        <v>875</v>
      </c>
      <c r="NI40" s="168">
        <f t="shared" si="227"/>
        <v>57.749999999999993</v>
      </c>
      <c r="NJ40" s="168">
        <f t="shared" si="228"/>
        <v>86.625</v>
      </c>
      <c r="NK40" s="168">
        <f t="shared" si="229"/>
        <v>144.375</v>
      </c>
      <c r="NL40" s="157">
        <f t="shared" si="230"/>
        <v>2479.197514286654</v>
      </c>
      <c r="NM40" s="168">
        <f t="shared" si="231"/>
        <v>88.524385714285728</v>
      </c>
      <c r="NN40" s="168">
        <f t="shared" si="232"/>
        <v>121.69770681589203</v>
      </c>
      <c r="NO40" s="168">
        <f t="shared" si="233"/>
        <v>553.442589857298</v>
      </c>
      <c r="NP40" s="168">
        <f t="shared" si="234"/>
        <v>409.06758985729795</v>
      </c>
      <c r="NQ40" s="168">
        <f t="shared" si="235"/>
        <v>801.74291095890408</v>
      </c>
      <c r="NR40" s="157">
        <f t="shared" si="236"/>
        <v>536.51142857142861</v>
      </c>
      <c r="NS40" s="168">
        <f t="shared" si="237"/>
        <v>86.625</v>
      </c>
      <c r="NT40" s="157">
        <f t="shared" si="238"/>
        <v>4859.0479452054797</v>
      </c>
      <c r="NU40" s="168">
        <f t="shared" si="239"/>
        <v>309.57299999999998</v>
      </c>
      <c r="NV40" s="168">
        <f t="shared" si="240"/>
        <v>182.9703857142857</v>
      </c>
      <c r="NW40" s="181"/>
      <c r="NX40" s="157"/>
      <c r="NY40" s="157"/>
      <c r="NZ40" s="157"/>
      <c r="OA40" s="157"/>
      <c r="OB40" s="157"/>
    </row>
    <row r="41" spans="1:392" ht="13" x14ac:dyDescent="0.3">
      <c r="A41" s="154">
        <v>14.121004566210047</v>
      </c>
      <c r="B41" s="154">
        <v>-4.5</v>
      </c>
      <c r="C41" s="154">
        <f t="shared" si="241"/>
        <v>-4.5</v>
      </c>
      <c r="D41" s="154">
        <v>4777.5000000000018</v>
      </c>
      <c r="E41" s="200">
        <f t="shared" si="242"/>
        <v>25.685483870967733</v>
      </c>
      <c r="F41" s="181">
        <f t="shared" si="54"/>
        <v>2249.1</v>
      </c>
      <c r="G41" s="161">
        <f t="shared" si="258"/>
        <v>186.00000000000014</v>
      </c>
      <c r="H41" s="154">
        <f t="shared" si="55"/>
        <v>2.2490999999999999</v>
      </c>
      <c r="I41" s="161">
        <f t="shared" si="56"/>
        <v>4743.0000000000036</v>
      </c>
      <c r="J41" s="181">
        <f t="shared" si="57"/>
        <v>21</v>
      </c>
      <c r="K41" s="181">
        <f t="shared" si="58"/>
        <v>13.584745762711865</v>
      </c>
      <c r="L41" s="181">
        <f t="shared" si="59"/>
        <v>3.3151937046004853</v>
      </c>
      <c r="M41" s="181">
        <f t="shared" si="60"/>
        <v>-4.5</v>
      </c>
      <c r="N41" s="181">
        <f t="shared" si="61"/>
        <v>6.9321428571428569</v>
      </c>
      <c r="O41" s="181">
        <f t="shared" si="62"/>
        <v>6.9321428571428569</v>
      </c>
      <c r="P41" s="181">
        <f t="shared" si="63"/>
        <v>15</v>
      </c>
      <c r="Q41" s="181">
        <f t="shared" si="64"/>
        <v>12.435287511230907</v>
      </c>
      <c r="R41" s="168">
        <f t="shared" si="65"/>
        <v>162.75000000000011</v>
      </c>
      <c r="S41" s="161">
        <f t="shared" si="66"/>
        <v>744.11586081983899</v>
      </c>
      <c r="T41" s="161">
        <f t="shared" si="67"/>
        <v>69.400124924614474</v>
      </c>
      <c r="U41" s="161">
        <f t="shared" si="68"/>
        <v>58.402875906187738</v>
      </c>
      <c r="V41" s="154">
        <f t="shared" si="69"/>
        <v>0.51311571428571423</v>
      </c>
      <c r="W41" s="154">
        <f t="shared" si="70"/>
        <v>2.3985386219192542</v>
      </c>
      <c r="X41" s="154">
        <f t="shared" si="71"/>
        <v>4.0006229076335398</v>
      </c>
      <c r="Y41" s="154">
        <f t="shared" si="72"/>
        <v>4.7000479452054797</v>
      </c>
      <c r="Z41" s="154">
        <f t="shared" si="73"/>
        <v>1.8053999999999999</v>
      </c>
      <c r="AA41" s="154">
        <f t="shared" si="74"/>
        <v>0.69942503757193975</v>
      </c>
      <c r="AB41" s="154">
        <f t="shared" si="26"/>
        <v>3.2735386219192542</v>
      </c>
      <c r="AC41" s="154">
        <f t="shared" si="27"/>
        <v>0.64554794520547942</v>
      </c>
      <c r="AD41" s="154">
        <f t="shared" si="28"/>
        <v>0.35</v>
      </c>
      <c r="AE41" s="154">
        <f t="shared" si="29"/>
        <v>0.52500000000000002</v>
      </c>
      <c r="AF41" s="154">
        <f t="shared" si="30"/>
        <v>0.875</v>
      </c>
      <c r="AG41" s="154">
        <f t="shared" si="75"/>
        <v>0.72708428571428563</v>
      </c>
      <c r="AH41" s="154">
        <f t="shared" si="76"/>
        <v>1.6020842857142856</v>
      </c>
      <c r="AI41" s="154">
        <f t="shared" si="77"/>
        <v>0.58732876712328763</v>
      </c>
      <c r="AJ41" s="154">
        <f t="shared" si="78"/>
        <v>5.8219178082191785E-2</v>
      </c>
      <c r="AK41" s="154">
        <f t="shared" si="79"/>
        <v>0</v>
      </c>
      <c r="AL41" s="161">
        <f t="shared" si="80"/>
        <v>587.32876712328766</v>
      </c>
      <c r="AM41" s="161">
        <f t="shared" si="81"/>
        <v>58.219178082191782</v>
      </c>
      <c r="AN41" s="161">
        <f t="shared" si="82"/>
        <v>0</v>
      </c>
      <c r="AO41" s="161"/>
      <c r="AP41" s="154">
        <f t="shared" si="83"/>
        <v>0.64554794520547942</v>
      </c>
      <c r="AQ41" s="154">
        <f t="shared" si="84"/>
        <v>0.64554794520547942</v>
      </c>
      <c r="AR41" s="154">
        <f t="shared" si="85"/>
        <v>2.1151999999999997</v>
      </c>
      <c r="AS41" s="161"/>
      <c r="AT41" s="161"/>
      <c r="AU41" s="161"/>
      <c r="AV41" s="161"/>
      <c r="AW41" s="181"/>
      <c r="AX41" s="181"/>
      <c r="AY41" s="181"/>
      <c r="AZ41" s="181"/>
      <c r="BA41" s="181"/>
      <c r="BB41" s="161"/>
      <c r="BC41" s="161"/>
      <c r="BD41" s="161"/>
      <c r="BE41" s="181"/>
      <c r="BF41" s="168"/>
      <c r="BG41" s="181"/>
      <c r="BH41" s="168"/>
      <c r="BI41" s="168"/>
      <c r="BJ41" s="161"/>
      <c r="BK41" s="168"/>
      <c r="BL41" s="168"/>
      <c r="BM41" s="168"/>
      <c r="BN41" s="168"/>
      <c r="BO41" s="168">
        <f t="shared" si="86"/>
        <v>109.24315068493158</v>
      </c>
      <c r="BP41" s="168">
        <f t="shared" si="87"/>
        <v>10.82876712328768</v>
      </c>
      <c r="BQ41" s="168">
        <f t="shared" si="88"/>
        <v>0</v>
      </c>
      <c r="BR41" s="181"/>
      <c r="BS41" s="161"/>
      <c r="BT41" s="168"/>
      <c r="BU41" s="161"/>
      <c r="BV41" s="161"/>
      <c r="BW41" s="161"/>
      <c r="BX41" s="161"/>
      <c r="CB41" s="181">
        <f t="shared" si="89"/>
        <v>23.553627218648728</v>
      </c>
      <c r="CC41" s="181">
        <f t="shared" si="89"/>
        <v>0</v>
      </c>
      <c r="CD41" s="181">
        <f t="shared" si="89"/>
        <v>27.529774779948724</v>
      </c>
      <c r="CE41" s="181">
        <f t="shared" si="89"/>
        <v>0</v>
      </c>
      <c r="CF41" s="181">
        <f t="shared" si="89"/>
        <v>91.575874159694308</v>
      </c>
      <c r="CG41" s="181">
        <f t="shared" si="89"/>
        <v>0</v>
      </c>
      <c r="CH41" s="181">
        <f t="shared" si="89"/>
        <v>27.565761413648008</v>
      </c>
      <c r="CI41" s="181">
        <f t="shared" si="89"/>
        <v>0</v>
      </c>
      <c r="CJ41" s="182">
        <f t="shared" si="90"/>
        <v>170.22503757193977</v>
      </c>
      <c r="CK41" s="161">
        <f t="shared" si="91"/>
        <v>170.22503757193977</v>
      </c>
      <c r="CL41" s="161">
        <f t="shared" si="243"/>
        <v>529.19999999999993</v>
      </c>
      <c r="CM41" s="182">
        <f t="shared" si="92"/>
        <v>699.4250375719397</v>
      </c>
      <c r="CN41" s="157">
        <f t="shared" si="93"/>
        <v>31.661856988380819</v>
      </c>
      <c r="CO41" s="162">
        <f t="shared" si="94"/>
        <v>699.4250375719397</v>
      </c>
      <c r="FT41" s="168">
        <f t="shared" si="244"/>
        <v>2.5</v>
      </c>
      <c r="FU41" s="161">
        <f t="shared" si="245"/>
        <v>350</v>
      </c>
      <c r="FV41" s="161">
        <f t="shared" si="33"/>
        <v>525</v>
      </c>
      <c r="FW41" s="161">
        <f t="shared" si="95"/>
        <v>875</v>
      </c>
      <c r="FX41" s="161">
        <v>186.00000000000014</v>
      </c>
      <c r="FY41" s="168">
        <f t="shared" si="96"/>
        <v>2.5</v>
      </c>
      <c r="FZ41" s="161">
        <v>350</v>
      </c>
      <c r="GA41" s="161">
        <v>525</v>
      </c>
      <c r="GB41" s="161">
        <v>875</v>
      </c>
      <c r="GC41" s="168">
        <f t="shared" si="246"/>
        <v>0.56785714285714284</v>
      </c>
      <c r="GD41" s="154">
        <f t="shared" si="97"/>
        <v>21</v>
      </c>
      <c r="GE41" s="181">
        <f t="shared" si="98"/>
        <v>13.584745762711865</v>
      </c>
      <c r="GF41" s="181">
        <f t="shared" si="34"/>
        <v>3.3151937046004853</v>
      </c>
      <c r="GG41" s="154">
        <f t="shared" si="99"/>
        <v>-4.5</v>
      </c>
      <c r="GH41" s="181">
        <f t="shared" si="100"/>
        <v>6.9321428571428569</v>
      </c>
      <c r="GI41" s="181">
        <f t="shared" si="101"/>
        <v>20.690004492362984</v>
      </c>
      <c r="GJ41" s="181">
        <f t="shared" si="102"/>
        <v>20.690004492362984</v>
      </c>
      <c r="GK41" s="181">
        <f t="shared" si="103"/>
        <v>0</v>
      </c>
      <c r="GL41" s="157">
        <f t="shared" si="104"/>
        <v>727.08428571428567</v>
      </c>
      <c r="GM41" s="157">
        <f t="shared" si="105"/>
        <v>1805.3999999999999</v>
      </c>
      <c r="GN41" s="157">
        <f t="shared" si="106"/>
        <v>0</v>
      </c>
      <c r="GO41" s="157">
        <f t="shared" si="107"/>
        <v>1078.3157142857142</v>
      </c>
      <c r="GP41" s="157">
        <f t="shared" si="108"/>
        <v>2249.1</v>
      </c>
      <c r="GQ41" s="157">
        <f t="shared" si="109"/>
        <v>699.4250375719397</v>
      </c>
      <c r="GR41" s="157">
        <f t="shared" si="110"/>
        <v>3327.4157142857139</v>
      </c>
      <c r="GS41" s="200">
        <f t="shared" si="111"/>
        <v>1</v>
      </c>
      <c r="GT41" s="157">
        <f t="shared" si="112"/>
        <v>699.4250375719397</v>
      </c>
      <c r="GU41" s="157">
        <f t="shared" si="113"/>
        <v>645.54794520547944</v>
      </c>
      <c r="GV41" s="162">
        <f t="shared" si="114"/>
        <v>3273.5386219192542</v>
      </c>
      <c r="GW41" s="157">
        <f t="shared" si="115"/>
        <v>875</v>
      </c>
      <c r="GX41" s="157">
        <f t="shared" si="247"/>
        <v>525</v>
      </c>
      <c r="GY41" s="207">
        <f t="shared" si="35"/>
        <v>350</v>
      </c>
      <c r="GZ41" s="207">
        <f t="shared" si="116"/>
        <v>350</v>
      </c>
      <c r="HA41" s="157">
        <f t="shared" si="117"/>
        <v>350</v>
      </c>
      <c r="HB41" s="157">
        <f t="shared" si="36"/>
        <v>525</v>
      </c>
      <c r="HC41" s="157">
        <f t="shared" si="37"/>
        <v>875</v>
      </c>
      <c r="HD41" s="168">
        <f t="shared" si="38"/>
        <v>65.100000000000051</v>
      </c>
      <c r="HE41" s="168">
        <f t="shared" si="118"/>
        <v>97.650000000000077</v>
      </c>
      <c r="HF41" s="168">
        <f t="shared" si="39"/>
        <v>162.75000000000011</v>
      </c>
      <c r="HG41" s="157">
        <f t="shared" si="119"/>
        <v>2398.5386219192542</v>
      </c>
      <c r="HH41" s="168">
        <f t="shared" si="120"/>
        <v>0</v>
      </c>
      <c r="HI41" s="168">
        <f t="shared" si="121"/>
        <v>130.09305698838088</v>
      </c>
      <c r="HJ41" s="168">
        <f t="shared" si="122"/>
        <v>608.87818367698173</v>
      </c>
      <c r="HK41" s="168">
        <f t="shared" si="123"/>
        <v>446.12818367698162</v>
      </c>
      <c r="HL41" s="168">
        <f t="shared" si="124"/>
        <v>874.20891780821989</v>
      </c>
      <c r="HM41" s="157">
        <f t="shared" si="125"/>
        <v>875</v>
      </c>
      <c r="HN41" s="168">
        <f t="shared" si="126"/>
        <v>97.650000000000077</v>
      </c>
      <c r="HP41" s="168">
        <f t="shared" si="127"/>
        <v>335.80440000000021</v>
      </c>
      <c r="HQ41" s="168">
        <f t="shared" si="128"/>
        <v>200.56672285714302</v>
      </c>
      <c r="HR41" s="181"/>
      <c r="HU41" s="168">
        <f t="shared" si="248"/>
        <v>2.5</v>
      </c>
      <c r="HV41" s="161">
        <f t="shared" si="248"/>
        <v>350</v>
      </c>
      <c r="HW41" s="161">
        <f t="shared" si="40"/>
        <v>525</v>
      </c>
      <c r="HX41" s="161">
        <f t="shared" si="41"/>
        <v>875</v>
      </c>
      <c r="HY41" s="161">
        <v>186.00000000000014</v>
      </c>
      <c r="HZ41" s="168">
        <f t="shared" si="129"/>
        <v>2.5</v>
      </c>
      <c r="IA41" s="161">
        <v>307.72714285714284</v>
      </c>
      <c r="IB41" s="161">
        <v>461.59071428571428</v>
      </c>
      <c r="IC41" s="161">
        <v>769.31785714285706</v>
      </c>
      <c r="ID41" s="168">
        <f t="shared" si="249"/>
        <v>0.56785714285714284</v>
      </c>
      <c r="IE41" s="154">
        <f t="shared" si="130"/>
        <v>21</v>
      </c>
      <c r="IF41" s="154">
        <f t="shared" si="131"/>
        <v>-4.5</v>
      </c>
      <c r="IG41" s="181">
        <f t="shared" si="132"/>
        <v>6.5196428571428573</v>
      </c>
      <c r="IH41" s="181">
        <f t="shared" si="133"/>
        <v>11.619642857142857</v>
      </c>
      <c r="II41" s="181">
        <f t="shared" si="134"/>
        <v>0</v>
      </c>
      <c r="IJ41" s="181">
        <f t="shared" si="135"/>
        <v>23.715835579514824</v>
      </c>
      <c r="IK41" s="181">
        <f t="shared" si="136"/>
        <v>23.715835579514824</v>
      </c>
      <c r="IL41" s="181">
        <f t="shared" si="250"/>
        <v>0</v>
      </c>
      <c r="IM41" s="181">
        <f t="shared" si="137"/>
        <v>0</v>
      </c>
      <c r="IN41" s="157">
        <f t="shared" si="138"/>
        <v>1025.2092857142857</v>
      </c>
      <c r="IO41" s="157">
        <f t="shared" si="139"/>
        <v>1805.3999999999999</v>
      </c>
      <c r="IP41" s="157">
        <f t="shared" si="42"/>
        <v>0</v>
      </c>
      <c r="IQ41" s="157">
        <f>IO41-IN41-IP41</f>
        <v>780.19071428571419</v>
      </c>
      <c r="IR41" s="157">
        <f t="shared" si="140"/>
        <v>2249.1</v>
      </c>
      <c r="IS41" s="157">
        <f t="shared" si="141"/>
        <v>699.4250375719397</v>
      </c>
      <c r="IT41" s="157">
        <f t="shared" si="142"/>
        <v>3029.2907142857139</v>
      </c>
      <c r="IU41" s="200">
        <f t="shared" si="143"/>
        <v>1</v>
      </c>
      <c r="IV41" s="157">
        <f t="shared" si="144"/>
        <v>699.4250375719397</v>
      </c>
      <c r="IW41" s="157">
        <f t="shared" si="145"/>
        <v>645.54794520547944</v>
      </c>
      <c r="IX41" s="162">
        <f t="shared" si="146"/>
        <v>2975.4136219192542</v>
      </c>
      <c r="IY41" s="157">
        <f t="shared" si="22"/>
        <v>875</v>
      </c>
      <c r="IZ41" s="157">
        <f t="shared" si="147"/>
        <v>461.59071428571428</v>
      </c>
      <c r="JA41" s="207">
        <f t="shared" si="148"/>
        <v>350</v>
      </c>
      <c r="JB41" s="207">
        <f t="shared" si="149"/>
        <v>307.72714285714284</v>
      </c>
      <c r="JC41" s="157">
        <f t="shared" si="150"/>
        <v>307.72714285714284</v>
      </c>
      <c r="JD41" s="157">
        <f t="shared" si="151"/>
        <v>461.59071428571428</v>
      </c>
      <c r="JE41" s="157">
        <f t="shared" si="152"/>
        <v>769.31785714285706</v>
      </c>
      <c r="JF41" s="168">
        <f t="shared" si="153"/>
        <v>57.237248571428609</v>
      </c>
      <c r="JG41" s="168">
        <f t="shared" si="154"/>
        <v>85.855872857142927</v>
      </c>
      <c r="JH41" s="168">
        <f t="shared" si="155"/>
        <v>143.09312142857152</v>
      </c>
      <c r="JI41" s="157">
        <f t="shared" si="156"/>
        <v>2206.0957647763971</v>
      </c>
      <c r="JJ41" s="168">
        <f t="shared" si="157"/>
        <v>0</v>
      </c>
      <c r="JK41" s="168">
        <f t="shared" si="158"/>
        <v>130.09305698838088</v>
      </c>
      <c r="JL41" s="168">
        <f t="shared" si="159"/>
        <v>553.42693367698178</v>
      </c>
      <c r="JM41" s="168">
        <f t="shared" si="160"/>
        <v>410.3338122484102</v>
      </c>
      <c r="JN41" s="168">
        <f t="shared" si="161"/>
        <v>874.20891780821989</v>
      </c>
      <c r="JO41" s="157">
        <f t="shared" si="162"/>
        <v>214.99071428571415</v>
      </c>
      <c r="JP41" s="168">
        <f t="shared" si="163"/>
        <v>85.855872857142927</v>
      </c>
      <c r="JR41" s="168">
        <f t="shared" si="164"/>
        <v>335.80440000000021</v>
      </c>
      <c r="JS41" s="168">
        <f t="shared" si="165"/>
        <v>145.11547285714295</v>
      </c>
      <c r="JT41" s="181"/>
      <c r="JW41" s="168">
        <f t="shared" ref="JW41:JX41" si="285">JW40</f>
        <v>2.5</v>
      </c>
      <c r="JX41" s="161">
        <f t="shared" si="285"/>
        <v>350</v>
      </c>
      <c r="JY41" s="161">
        <f t="shared" si="44"/>
        <v>525</v>
      </c>
      <c r="JZ41" s="161">
        <f t="shared" si="45"/>
        <v>875</v>
      </c>
      <c r="KA41" s="161">
        <v>186.00000000000014</v>
      </c>
      <c r="KB41" s="168">
        <f t="shared" si="166"/>
        <v>2.5</v>
      </c>
      <c r="KC41" s="161">
        <v>307.72714285714284</v>
      </c>
      <c r="KD41" s="161">
        <v>461.59071428571428</v>
      </c>
      <c r="KE41" s="161">
        <v>769.31785714285706</v>
      </c>
      <c r="KF41" s="168">
        <f t="shared" ref="KF41" si="286">KF40</f>
        <v>0.56785714285714284</v>
      </c>
      <c r="KG41" s="154">
        <f t="shared" si="167"/>
        <v>21</v>
      </c>
      <c r="KH41" s="154">
        <f t="shared" si="168"/>
        <v>-4.5</v>
      </c>
      <c r="KI41" s="181">
        <f t="shared" si="169"/>
        <v>6.5196428571428573</v>
      </c>
      <c r="KJ41" s="181">
        <f t="shared" si="170"/>
        <v>11.619642857142857</v>
      </c>
      <c r="KK41" s="181">
        <f t="shared" si="171"/>
        <v>0</v>
      </c>
      <c r="KL41" s="181">
        <f t="shared" si="172"/>
        <v>11.619642857142857</v>
      </c>
      <c r="KM41" s="181">
        <f t="shared" si="173"/>
        <v>15</v>
      </c>
      <c r="KN41" s="181">
        <f t="shared" si="253"/>
        <v>0</v>
      </c>
      <c r="KO41" s="181">
        <f t="shared" si="174"/>
        <v>0</v>
      </c>
      <c r="KP41" s="157">
        <f t="shared" si="175"/>
        <v>1025.2092857142857</v>
      </c>
      <c r="KQ41" s="157">
        <f t="shared" si="46"/>
        <v>1805.3999999999999</v>
      </c>
      <c r="KR41" s="157">
        <f t="shared" si="176"/>
        <v>214.99071428571429</v>
      </c>
      <c r="KS41" s="157">
        <f t="shared" si="177"/>
        <v>565.19999999999993</v>
      </c>
      <c r="KT41" s="157">
        <f t="shared" si="178"/>
        <v>2249.1</v>
      </c>
      <c r="KU41" s="157">
        <f t="shared" si="179"/>
        <v>699.4250375719397</v>
      </c>
      <c r="KV41" s="157">
        <f t="shared" si="180"/>
        <v>2814.2999999999997</v>
      </c>
      <c r="KW41" s="200">
        <f t="shared" si="181"/>
        <v>1</v>
      </c>
      <c r="KX41" s="157">
        <f t="shared" si="182"/>
        <v>699.4250375719397</v>
      </c>
      <c r="KY41" s="157">
        <f t="shared" si="183"/>
        <v>645.54794520547944</v>
      </c>
      <c r="KZ41" s="162">
        <f t="shared" si="47"/>
        <v>2975.4136219192542</v>
      </c>
      <c r="LA41" s="157">
        <f t="shared" si="184"/>
        <v>875</v>
      </c>
      <c r="LB41" s="157">
        <f t="shared" si="185"/>
        <v>461.59071428571428</v>
      </c>
      <c r="LC41" s="207">
        <f t="shared" si="186"/>
        <v>350</v>
      </c>
      <c r="LD41" s="207">
        <f t="shared" si="187"/>
        <v>307.72714285714284</v>
      </c>
      <c r="LE41" s="157">
        <f t="shared" si="188"/>
        <v>307.72714285714284</v>
      </c>
      <c r="LF41" s="157">
        <f t="shared" si="189"/>
        <v>461.59071428571428</v>
      </c>
      <c r="LG41" s="157">
        <f t="shared" si="190"/>
        <v>769.31785714285706</v>
      </c>
      <c r="LH41" s="168">
        <f t="shared" si="191"/>
        <v>57.237248571428609</v>
      </c>
      <c r="LI41" s="168">
        <f t="shared" si="192"/>
        <v>85.855872857142927</v>
      </c>
      <c r="LJ41" s="168">
        <f t="shared" si="193"/>
        <v>143.09312142857152</v>
      </c>
      <c r="LK41" s="157">
        <f t="shared" si="194"/>
        <v>2206.0957647763971</v>
      </c>
      <c r="LL41" s="168">
        <f t="shared" si="195"/>
        <v>39.988272857142888</v>
      </c>
      <c r="LM41" s="168">
        <f t="shared" si="196"/>
        <v>130.09305698838088</v>
      </c>
      <c r="LN41" s="168">
        <f t="shared" si="197"/>
        <v>553.42693367698178</v>
      </c>
      <c r="LO41" s="168">
        <f t="shared" si="198"/>
        <v>410.3338122484102</v>
      </c>
      <c r="LP41" s="168">
        <f t="shared" si="199"/>
        <v>874.20891780821989</v>
      </c>
      <c r="LQ41" s="157">
        <f t="shared" si="200"/>
        <v>214.99071428571415</v>
      </c>
      <c r="LR41" s="168">
        <f t="shared" si="201"/>
        <v>85.855872857142927</v>
      </c>
      <c r="LT41" s="168">
        <f t="shared" si="202"/>
        <v>335.80440000000021</v>
      </c>
      <c r="LU41" s="168">
        <f t="shared" si="203"/>
        <v>145.11547285714295</v>
      </c>
      <c r="LV41" s="181"/>
      <c r="LY41" s="168">
        <f t="shared" si="254"/>
        <v>2.5</v>
      </c>
      <c r="LZ41" s="161">
        <f t="shared" si="254"/>
        <v>350</v>
      </c>
      <c r="MA41" s="161">
        <f t="shared" si="48"/>
        <v>525</v>
      </c>
      <c r="MB41" s="161">
        <f t="shared" si="49"/>
        <v>875</v>
      </c>
      <c r="MC41" s="161">
        <v>186.00000000000014</v>
      </c>
      <c r="MD41" s="168">
        <f t="shared" si="204"/>
        <v>2.5</v>
      </c>
      <c r="ME41" s="161">
        <v>350</v>
      </c>
      <c r="MF41" s="161">
        <v>525</v>
      </c>
      <c r="MG41" s="161">
        <v>875</v>
      </c>
      <c r="MH41" s="168">
        <f t="shared" si="255"/>
        <v>0.56785714285714284</v>
      </c>
      <c r="MI41" s="154">
        <f t="shared" si="205"/>
        <v>21</v>
      </c>
      <c r="MJ41" s="181">
        <f t="shared" si="206"/>
        <v>13.584745762711865</v>
      </c>
      <c r="MK41" s="181">
        <f t="shared" si="207"/>
        <v>3.3151937046004853</v>
      </c>
      <c r="ML41" s="154">
        <f t="shared" si="208"/>
        <v>-4.5</v>
      </c>
      <c r="MM41" s="181">
        <f t="shared" si="209"/>
        <v>6.9321428571428569</v>
      </c>
      <c r="MN41" s="181">
        <f t="shared" si="210"/>
        <v>6.9321428571428569</v>
      </c>
      <c r="MO41" s="181">
        <f t="shared" si="211"/>
        <v>15</v>
      </c>
      <c r="MP41" s="181">
        <f t="shared" si="212"/>
        <v>0</v>
      </c>
      <c r="MQ41" s="157">
        <f t="shared" si="50"/>
        <v>727.08428571428567</v>
      </c>
      <c r="MR41" s="157">
        <f t="shared" si="213"/>
        <v>1805.3999999999999</v>
      </c>
      <c r="MS41" s="157">
        <f t="shared" si="214"/>
        <v>513.11571428571426</v>
      </c>
      <c r="MT41" s="157">
        <f t="shared" si="215"/>
        <v>565.19999999999993</v>
      </c>
      <c r="MU41" s="157">
        <f t="shared" si="216"/>
        <v>2249.1</v>
      </c>
      <c r="MV41" s="157">
        <f t="shared" si="217"/>
        <v>699.4250375719397</v>
      </c>
      <c r="MW41" s="157">
        <f t="shared" si="218"/>
        <v>2814.2999999999997</v>
      </c>
      <c r="MX41" s="200">
        <f t="shared" si="219"/>
        <v>1</v>
      </c>
      <c r="MY41" s="157">
        <f t="shared" si="220"/>
        <v>699.4250375719397</v>
      </c>
      <c r="MZ41" s="157">
        <f t="shared" si="221"/>
        <v>645.54794520547944</v>
      </c>
      <c r="NA41" s="162">
        <f t="shared" si="222"/>
        <v>3273.5386219192542</v>
      </c>
      <c r="NB41" s="157">
        <f t="shared" si="223"/>
        <v>875</v>
      </c>
      <c r="NC41" s="157">
        <f t="shared" si="224"/>
        <v>525</v>
      </c>
      <c r="ND41" s="207">
        <f t="shared" si="51"/>
        <v>350</v>
      </c>
      <c r="NE41" s="207">
        <f t="shared" si="225"/>
        <v>350</v>
      </c>
      <c r="NF41" s="157">
        <f t="shared" si="226"/>
        <v>350</v>
      </c>
      <c r="NG41" s="157">
        <f t="shared" si="52"/>
        <v>525</v>
      </c>
      <c r="NH41" s="157">
        <f t="shared" si="53"/>
        <v>875</v>
      </c>
      <c r="NI41" s="168">
        <f t="shared" si="227"/>
        <v>65.100000000000051</v>
      </c>
      <c r="NJ41" s="168">
        <f t="shared" si="228"/>
        <v>97.650000000000077</v>
      </c>
      <c r="NK41" s="168">
        <f t="shared" si="229"/>
        <v>162.75000000000011</v>
      </c>
      <c r="NL41" s="157">
        <f t="shared" si="230"/>
        <v>2398.5386219192542</v>
      </c>
      <c r="NM41" s="168">
        <f t="shared" si="231"/>
        <v>95.439522857142919</v>
      </c>
      <c r="NN41" s="168">
        <f t="shared" si="232"/>
        <v>130.09305698838088</v>
      </c>
      <c r="NO41" s="168">
        <f t="shared" si="233"/>
        <v>608.87818367698173</v>
      </c>
      <c r="NP41" s="168">
        <f t="shared" si="234"/>
        <v>446.12818367698162</v>
      </c>
      <c r="NQ41" s="168">
        <f t="shared" si="235"/>
        <v>874.20891780821989</v>
      </c>
      <c r="NR41" s="157">
        <f t="shared" si="236"/>
        <v>513.11571428571415</v>
      </c>
      <c r="NS41" s="168">
        <f t="shared" si="237"/>
        <v>97.650000000000077</v>
      </c>
      <c r="NT41" s="157">
        <f t="shared" si="238"/>
        <v>4700.0479452054797</v>
      </c>
      <c r="NU41" s="168">
        <f t="shared" si="239"/>
        <v>335.80440000000021</v>
      </c>
      <c r="NV41" s="168">
        <f t="shared" si="240"/>
        <v>200.56672285714302</v>
      </c>
      <c r="NW41" s="181"/>
      <c r="NX41" s="157"/>
      <c r="NY41" s="157"/>
      <c r="NZ41" s="157"/>
      <c r="OA41" s="157"/>
      <c r="OB41" s="157"/>
    </row>
    <row r="42" spans="1:392" ht="13" x14ac:dyDescent="0.3">
      <c r="A42" s="154">
        <v>16.289954337899541</v>
      </c>
      <c r="B42" s="154">
        <v>-3.5</v>
      </c>
      <c r="C42" s="154">
        <f t="shared" si="241"/>
        <v>-3.5</v>
      </c>
      <c r="D42" s="154">
        <v>5603.7999999999993</v>
      </c>
      <c r="E42" s="200">
        <f t="shared" si="242"/>
        <v>29.493684210526361</v>
      </c>
      <c r="F42" s="181">
        <f t="shared" si="54"/>
        <v>2160.9</v>
      </c>
      <c r="G42" s="161">
        <f t="shared" si="258"/>
        <v>189.99999999999969</v>
      </c>
      <c r="H42" s="154">
        <f t="shared" si="55"/>
        <v>2.1609000000000003</v>
      </c>
      <c r="I42" s="161">
        <f t="shared" si="56"/>
        <v>4654.9999999999927</v>
      </c>
      <c r="J42" s="181">
        <f t="shared" si="57"/>
        <v>21</v>
      </c>
      <c r="K42" s="181">
        <f t="shared" si="58"/>
        <v>13.584745762711865</v>
      </c>
      <c r="L42" s="181">
        <f t="shared" si="59"/>
        <v>3.8830508474576284</v>
      </c>
      <c r="M42" s="181">
        <f t="shared" si="60"/>
        <v>-3.5</v>
      </c>
      <c r="N42" s="181">
        <f t="shared" si="61"/>
        <v>7.2999999999999989</v>
      </c>
      <c r="O42" s="181">
        <f t="shared" si="62"/>
        <v>7.2999999999999989</v>
      </c>
      <c r="P42" s="181">
        <f t="shared" si="63"/>
        <v>15</v>
      </c>
      <c r="Q42" s="181">
        <f t="shared" si="64"/>
        <v>12.803144654088051</v>
      </c>
      <c r="R42" s="168">
        <f t="shared" si="65"/>
        <v>166.24999999999972</v>
      </c>
      <c r="S42" s="161">
        <f t="shared" si="66"/>
        <v>725.1131265034328</v>
      </c>
      <c r="T42" s="161">
        <f t="shared" si="67"/>
        <v>67.90012492461446</v>
      </c>
      <c r="U42" s="161">
        <f t="shared" si="68"/>
        <v>56.506051514683385</v>
      </c>
      <c r="V42" s="154">
        <f t="shared" si="69"/>
        <v>0.48972000000000004</v>
      </c>
      <c r="W42" s="154">
        <f t="shared" si="70"/>
        <v>2.2545048763338631</v>
      </c>
      <c r="X42" s="154">
        <f t="shared" si="71"/>
        <v>3.816384876333863</v>
      </c>
      <c r="Y42" s="154">
        <f t="shared" si="72"/>
        <v>4.5410479452054799</v>
      </c>
      <c r="Z42" s="154">
        <f t="shared" si="73"/>
        <v>1.7345999999999999</v>
      </c>
      <c r="AA42" s="154">
        <f t="shared" si="74"/>
        <v>0.72466306887161702</v>
      </c>
      <c r="AB42" s="154">
        <f t="shared" si="26"/>
        <v>3.1295048763338627</v>
      </c>
      <c r="AC42" s="154">
        <f t="shared" si="27"/>
        <v>0.64554794520547942</v>
      </c>
      <c r="AD42" s="154">
        <f t="shared" si="28"/>
        <v>0.35</v>
      </c>
      <c r="AE42" s="154">
        <f t="shared" si="29"/>
        <v>0.52500000000000002</v>
      </c>
      <c r="AF42" s="154">
        <f t="shared" si="30"/>
        <v>0.875</v>
      </c>
      <c r="AG42" s="154">
        <f t="shared" si="75"/>
        <v>0.68687999999999994</v>
      </c>
      <c r="AH42" s="154">
        <f t="shared" si="76"/>
        <v>1.5618799999999999</v>
      </c>
      <c r="AI42" s="154">
        <f t="shared" si="77"/>
        <v>0.58732876712328763</v>
      </c>
      <c r="AJ42" s="154">
        <f t="shared" si="78"/>
        <v>5.8219178082191785E-2</v>
      </c>
      <c r="AK42" s="154">
        <f t="shared" si="79"/>
        <v>0</v>
      </c>
      <c r="AL42" s="161">
        <f t="shared" si="80"/>
        <v>587.32876712328766</v>
      </c>
      <c r="AM42" s="161">
        <f t="shared" si="81"/>
        <v>58.219178082191782</v>
      </c>
      <c r="AN42" s="161">
        <f t="shared" si="82"/>
        <v>0</v>
      </c>
      <c r="AO42" s="161"/>
      <c r="AP42" s="154">
        <f t="shared" si="83"/>
        <v>0.64554794520547942</v>
      </c>
      <c r="AQ42" s="154">
        <f t="shared" si="84"/>
        <v>0.64554794520547942</v>
      </c>
      <c r="AR42" s="154">
        <f t="shared" si="85"/>
        <v>2.0516000000000001</v>
      </c>
      <c r="AS42" s="161"/>
      <c r="AT42" s="161"/>
      <c r="AU42" s="161"/>
      <c r="AV42" s="161"/>
      <c r="AW42" s="181"/>
      <c r="AX42" s="181"/>
      <c r="AY42" s="181"/>
      <c r="AZ42" s="181"/>
      <c r="BA42" s="181"/>
      <c r="BB42" s="161"/>
      <c r="BC42" s="161"/>
      <c r="BD42" s="161"/>
      <c r="BE42" s="181"/>
      <c r="BF42" s="168"/>
      <c r="BG42" s="181"/>
      <c r="BH42" s="168"/>
      <c r="BI42" s="168"/>
      <c r="BJ42" s="161"/>
      <c r="BK42" s="168"/>
      <c r="BL42" s="168"/>
      <c r="BM42" s="168"/>
      <c r="BN42" s="168"/>
      <c r="BO42" s="168">
        <f t="shared" si="86"/>
        <v>111.59246575342446</v>
      </c>
      <c r="BP42" s="168">
        <f t="shared" si="87"/>
        <v>11.061643835616421</v>
      </c>
      <c r="BQ42" s="168">
        <f t="shared" si="88"/>
        <v>0</v>
      </c>
      <c r="BR42" s="181"/>
      <c r="BS42" s="161"/>
      <c r="BT42" s="168"/>
      <c r="BU42" s="161"/>
      <c r="BV42" s="161"/>
      <c r="BW42" s="161"/>
      <c r="BX42" s="161"/>
      <c r="CB42" s="181">
        <f t="shared" si="89"/>
        <v>27.045752639469775</v>
      </c>
      <c r="CC42" s="181">
        <f t="shared" si="89"/>
        <v>0</v>
      </c>
      <c r="CD42" s="181">
        <f t="shared" si="89"/>
        <v>31.611414751834655</v>
      </c>
      <c r="CE42" s="181">
        <f t="shared" si="89"/>
        <v>0</v>
      </c>
      <c r="CF42" s="181">
        <f t="shared" si="89"/>
        <v>105.1531646176913</v>
      </c>
      <c r="CG42" s="181">
        <f t="shared" si="89"/>
        <v>0</v>
      </c>
      <c r="CH42" s="181">
        <f t="shared" si="89"/>
        <v>31.652736862621371</v>
      </c>
      <c r="CI42" s="181">
        <f t="shared" si="89"/>
        <v>0</v>
      </c>
      <c r="CJ42" s="182">
        <f t="shared" si="90"/>
        <v>195.46306887161708</v>
      </c>
      <c r="CK42" s="161">
        <f t="shared" si="91"/>
        <v>195.46306887161708</v>
      </c>
      <c r="CL42" s="161">
        <f t="shared" si="243"/>
        <v>529.19999999999993</v>
      </c>
      <c r="CM42" s="182">
        <f t="shared" si="92"/>
        <v>724.66306887161704</v>
      </c>
      <c r="CN42" s="157">
        <f t="shared" si="93"/>
        <v>37.137983085607189</v>
      </c>
      <c r="CO42" s="162">
        <f t="shared" si="94"/>
        <v>724.66306887161704</v>
      </c>
      <c r="FT42" s="168">
        <f t="shared" si="244"/>
        <v>2.5</v>
      </c>
      <c r="FU42" s="161">
        <f t="shared" si="245"/>
        <v>350</v>
      </c>
      <c r="FV42" s="161">
        <f t="shared" si="33"/>
        <v>525</v>
      </c>
      <c r="FW42" s="161">
        <f t="shared" si="95"/>
        <v>875</v>
      </c>
      <c r="FX42" s="161">
        <v>189.99999999999969</v>
      </c>
      <c r="FY42" s="168">
        <f t="shared" si="96"/>
        <v>2.5</v>
      </c>
      <c r="FZ42" s="161">
        <v>350</v>
      </c>
      <c r="GA42" s="161">
        <v>525</v>
      </c>
      <c r="GB42" s="161">
        <v>875</v>
      </c>
      <c r="GC42" s="168">
        <f t="shared" si="246"/>
        <v>0.56785714285714284</v>
      </c>
      <c r="GD42" s="154">
        <f t="shared" si="97"/>
        <v>21</v>
      </c>
      <c r="GE42" s="181">
        <f t="shared" si="98"/>
        <v>13.584745762711865</v>
      </c>
      <c r="GF42" s="181">
        <f t="shared" si="34"/>
        <v>3.8830508474576284</v>
      </c>
      <c r="GG42" s="154">
        <f t="shared" si="99"/>
        <v>-3.5</v>
      </c>
      <c r="GH42" s="181">
        <f t="shared" si="100"/>
        <v>7.2999999999999989</v>
      </c>
      <c r="GI42" s="181">
        <f t="shared" si="101"/>
        <v>21.057861635220128</v>
      </c>
      <c r="GJ42" s="181">
        <f t="shared" si="102"/>
        <v>21.057861635220128</v>
      </c>
      <c r="GK42" s="181">
        <f t="shared" si="103"/>
        <v>0</v>
      </c>
      <c r="GL42" s="157">
        <f t="shared" si="104"/>
        <v>686.87999999999988</v>
      </c>
      <c r="GM42" s="157">
        <f t="shared" si="105"/>
        <v>1734.6</v>
      </c>
      <c r="GN42" s="157">
        <f t="shared" si="106"/>
        <v>0</v>
      </c>
      <c r="GO42" s="157">
        <f t="shared" si="107"/>
        <v>1047.72</v>
      </c>
      <c r="GP42" s="157">
        <f t="shared" si="108"/>
        <v>2160.9</v>
      </c>
      <c r="GQ42" s="157">
        <f t="shared" si="109"/>
        <v>724.66306887161704</v>
      </c>
      <c r="GR42" s="157">
        <f t="shared" si="110"/>
        <v>3208.62</v>
      </c>
      <c r="GS42" s="200">
        <f t="shared" si="111"/>
        <v>1</v>
      </c>
      <c r="GT42" s="157">
        <f t="shared" si="112"/>
        <v>724.66306887161704</v>
      </c>
      <c r="GU42" s="157">
        <f t="shared" si="113"/>
        <v>645.54794520547944</v>
      </c>
      <c r="GV42" s="162">
        <f t="shared" si="114"/>
        <v>3129.5048763338627</v>
      </c>
      <c r="GW42" s="157">
        <f t="shared" si="115"/>
        <v>875</v>
      </c>
      <c r="GX42" s="157">
        <f t="shared" si="247"/>
        <v>525</v>
      </c>
      <c r="GY42" s="207">
        <f t="shared" si="35"/>
        <v>350</v>
      </c>
      <c r="GZ42" s="207">
        <f t="shared" si="116"/>
        <v>350</v>
      </c>
      <c r="HA42" s="157">
        <f t="shared" si="117"/>
        <v>350</v>
      </c>
      <c r="HB42" s="157">
        <f t="shared" si="36"/>
        <v>525</v>
      </c>
      <c r="HC42" s="157">
        <f t="shared" si="37"/>
        <v>875</v>
      </c>
      <c r="HD42" s="168">
        <f t="shared" si="38"/>
        <v>66.499999999999886</v>
      </c>
      <c r="HE42" s="168">
        <f t="shared" si="118"/>
        <v>99.749999999999844</v>
      </c>
      <c r="HF42" s="168">
        <f t="shared" si="39"/>
        <v>166.24999999999972</v>
      </c>
      <c r="HG42" s="157">
        <f t="shared" si="119"/>
        <v>2254.5048763338627</v>
      </c>
      <c r="HH42" s="168">
        <f t="shared" si="120"/>
        <v>0</v>
      </c>
      <c r="HI42" s="168">
        <f t="shared" si="121"/>
        <v>137.68598308560701</v>
      </c>
      <c r="HJ42" s="168">
        <f t="shared" si="122"/>
        <v>594.6059265034329</v>
      </c>
      <c r="HK42" s="168">
        <f t="shared" si="123"/>
        <v>428.35592650343318</v>
      </c>
      <c r="HL42" s="168">
        <f t="shared" si="124"/>
        <v>862.79910958903974</v>
      </c>
      <c r="HM42" s="157">
        <f t="shared" si="125"/>
        <v>875.00000000000023</v>
      </c>
      <c r="HN42" s="168">
        <f t="shared" si="126"/>
        <v>99.749999999999844</v>
      </c>
      <c r="HP42" s="168">
        <f t="shared" si="127"/>
        <v>329.57399999999944</v>
      </c>
      <c r="HQ42" s="168">
        <f t="shared" si="128"/>
        <v>199.06679999999966</v>
      </c>
      <c r="HR42" s="181"/>
      <c r="HU42" s="168">
        <f t="shared" ref="HU42:HV57" si="287">HU41</f>
        <v>2.5</v>
      </c>
      <c r="HV42" s="161">
        <f t="shared" si="287"/>
        <v>350</v>
      </c>
      <c r="HW42" s="161">
        <f t="shared" si="40"/>
        <v>525</v>
      </c>
      <c r="HX42" s="161">
        <f t="shared" si="41"/>
        <v>875</v>
      </c>
      <c r="HY42" s="161">
        <v>189.99999999999969</v>
      </c>
      <c r="HZ42" s="168">
        <f t="shared" si="129"/>
        <v>2.5</v>
      </c>
      <c r="IA42" s="161">
        <v>334.53000000000003</v>
      </c>
      <c r="IB42" s="161">
        <v>501.79500000000007</v>
      </c>
      <c r="IC42" s="161">
        <v>836.32500000000005</v>
      </c>
      <c r="ID42" s="168">
        <f t="shared" ref="ID42:ID57" si="288">ID41</f>
        <v>0.56785714285714284</v>
      </c>
      <c r="IE42" s="154">
        <f t="shared" si="130"/>
        <v>21</v>
      </c>
      <c r="IF42" s="154">
        <f t="shared" si="131"/>
        <v>-3.5</v>
      </c>
      <c r="IG42" s="181">
        <f t="shared" si="132"/>
        <v>7.0875000000000004</v>
      </c>
      <c r="IH42" s="181">
        <f t="shared" si="133"/>
        <v>11.987499999999999</v>
      </c>
      <c r="II42" s="181">
        <f t="shared" si="134"/>
        <v>0</v>
      </c>
      <c r="IJ42" s="181">
        <f t="shared" si="135"/>
        <v>25.137264150943395</v>
      </c>
      <c r="IK42" s="181">
        <f t="shared" si="136"/>
        <v>25.137264150943395</v>
      </c>
      <c r="IL42" s="181">
        <f t="shared" si="250"/>
        <v>0</v>
      </c>
      <c r="IM42" s="181">
        <f t="shared" si="137"/>
        <v>0</v>
      </c>
      <c r="IN42" s="157">
        <f t="shared" si="138"/>
        <v>985.00499999999988</v>
      </c>
      <c r="IO42" s="157">
        <f t="shared" si="139"/>
        <v>1734.6</v>
      </c>
      <c r="IP42" s="157">
        <f t="shared" si="42"/>
        <v>0</v>
      </c>
      <c r="IQ42" s="157">
        <f t="shared" si="43"/>
        <v>749.59500000000003</v>
      </c>
      <c r="IR42" s="157">
        <f t="shared" si="140"/>
        <v>2160.9</v>
      </c>
      <c r="IS42" s="157">
        <f t="shared" si="141"/>
        <v>724.66306887161704</v>
      </c>
      <c r="IT42" s="157">
        <f t="shared" si="142"/>
        <v>2910.4949999999999</v>
      </c>
      <c r="IU42" s="200">
        <f t="shared" si="143"/>
        <v>1</v>
      </c>
      <c r="IV42" s="157">
        <f t="shared" si="144"/>
        <v>724.66306887161704</v>
      </c>
      <c r="IW42" s="157">
        <f t="shared" si="145"/>
        <v>645.54794520547944</v>
      </c>
      <c r="IX42" s="162">
        <f t="shared" si="146"/>
        <v>2831.3798763338627</v>
      </c>
      <c r="IY42" s="157">
        <f t="shared" si="22"/>
        <v>875</v>
      </c>
      <c r="IZ42" s="157">
        <f t="shared" si="147"/>
        <v>501.79500000000002</v>
      </c>
      <c r="JA42" s="207">
        <f t="shared" si="148"/>
        <v>350</v>
      </c>
      <c r="JB42" s="207">
        <f t="shared" si="149"/>
        <v>334.53000000000003</v>
      </c>
      <c r="JC42" s="157">
        <f t="shared" si="150"/>
        <v>334.53000000000003</v>
      </c>
      <c r="JD42" s="157">
        <f t="shared" si="151"/>
        <v>501.79500000000007</v>
      </c>
      <c r="JE42" s="157">
        <f t="shared" si="152"/>
        <v>836.32500000000005</v>
      </c>
      <c r="JF42" s="168">
        <f t="shared" si="153"/>
        <v>63.560699999999905</v>
      </c>
      <c r="JG42" s="168">
        <f t="shared" si="154"/>
        <v>95.341049999999868</v>
      </c>
      <c r="JH42" s="168">
        <f t="shared" si="155"/>
        <v>158.90174999999977</v>
      </c>
      <c r="JI42" s="157">
        <f t="shared" si="156"/>
        <v>1995.0548763338627</v>
      </c>
      <c r="JJ42" s="168">
        <f t="shared" si="157"/>
        <v>0</v>
      </c>
      <c r="JK42" s="168">
        <f t="shared" si="158"/>
        <v>137.68598308560701</v>
      </c>
      <c r="JL42" s="168">
        <f t="shared" si="159"/>
        <v>537.96217650343306</v>
      </c>
      <c r="JM42" s="168">
        <f t="shared" si="160"/>
        <v>379.06042650343329</v>
      </c>
      <c r="JN42" s="168">
        <f t="shared" si="161"/>
        <v>862.79910958903974</v>
      </c>
      <c r="JO42" s="157">
        <f t="shared" si="162"/>
        <v>191.59500000000003</v>
      </c>
      <c r="JP42" s="168">
        <f t="shared" si="163"/>
        <v>95.341049999999868</v>
      </c>
      <c r="JR42" s="168">
        <f t="shared" si="164"/>
        <v>329.57399999999944</v>
      </c>
      <c r="JS42" s="168">
        <f t="shared" si="165"/>
        <v>142.42304999999976</v>
      </c>
      <c r="JT42" s="181"/>
      <c r="JW42" s="168">
        <f t="shared" ref="JW42:JX42" si="289">JW41</f>
        <v>2.5</v>
      </c>
      <c r="JX42" s="161">
        <f t="shared" si="289"/>
        <v>350</v>
      </c>
      <c r="JY42" s="161">
        <f t="shared" si="44"/>
        <v>525</v>
      </c>
      <c r="JZ42" s="161">
        <f t="shared" si="45"/>
        <v>875</v>
      </c>
      <c r="KA42" s="161">
        <v>189.99999999999969</v>
      </c>
      <c r="KB42" s="168">
        <f t="shared" si="166"/>
        <v>2.5</v>
      </c>
      <c r="KC42" s="161">
        <v>334.53000000000003</v>
      </c>
      <c r="KD42" s="161">
        <v>501.79500000000007</v>
      </c>
      <c r="KE42" s="161">
        <v>836.32500000000005</v>
      </c>
      <c r="KF42" s="168">
        <f t="shared" ref="KF42" si="290">KF41</f>
        <v>0.56785714285714284</v>
      </c>
      <c r="KG42" s="154">
        <f t="shared" si="167"/>
        <v>21</v>
      </c>
      <c r="KH42" s="154">
        <f t="shared" si="168"/>
        <v>-3.5</v>
      </c>
      <c r="KI42" s="181">
        <f t="shared" si="169"/>
        <v>7.0875000000000004</v>
      </c>
      <c r="KJ42" s="181">
        <f t="shared" si="170"/>
        <v>11.987499999999999</v>
      </c>
      <c r="KK42" s="181">
        <f t="shared" si="171"/>
        <v>0</v>
      </c>
      <c r="KL42" s="181">
        <f t="shared" si="172"/>
        <v>11.987499999999999</v>
      </c>
      <c r="KM42" s="181">
        <f t="shared" si="173"/>
        <v>15</v>
      </c>
      <c r="KN42" s="181">
        <f t="shared" si="253"/>
        <v>0</v>
      </c>
      <c r="KO42" s="181">
        <f t="shared" si="174"/>
        <v>0</v>
      </c>
      <c r="KP42" s="157">
        <f t="shared" si="175"/>
        <v>985.00499999999988</v>
      </c>
      <c r="KQ42" s="157">
        <f t="shared" si="46"/>
        <v>1734.6</v>
      </c>
      <c r="KR42" s="157">
        <f t="shared" si="176"/>
        <v>191.59500000000006</v>
      </c>
      <c r="KS42" s="157">
        <f t="shared" si="177"/>
        <v>558</v>
      </c>
      <c r="KT42" s="157">
        <f t="shared" si="178"/>
        <v>2160.9</v>
      </c>
      <c r="KU42" s="157">
        <f t="shared" si="179"/>
        <v>724.66306887161704</v>
      </c>
      <c r="KV42" s="157">
        <f t="shared" si="180"/>
        <v>2718.9</v>
      </c>
      <c r="KW42" s="200">
        <f t="shared" si="181"/>
        <v>1</v>
      </c>
      <c r="KX42" s="157">
        <f t="shared" si="182"/>
        <v>724.66306887161704</v>
      </c>
      <c r="KY42" s="157">
        <f t="shared" si="183"/>
        <v>645.54794520547944</v>
      </c>
      <c r="KZ42" s="162">
        <f t="shared" si="47"/>
        <v>2831.3798763338627</v>
      </c>
      <c r="LA42" s="157">
        <f t="shared" si="184"/>
        <v>875</v>
      </c>
      <c r="LB42" s="157">
        <f t="shared" si="185"/>
        <v>501.79500000000002</v>
      </c>
      <c r="LC42" s="207">
        <f t="shared" si="186"/>
        <v>350</v>
      </c>
      <c r="LD42" s="207">
        <f t="shared" si="187"/>
        <v>334.53000000000003</v>
      </c>
      <c r="LE42" s="157">
        <f t="shared" si="188"/>
        <v>334.53000000000003</v>
      </c>
      <c r="LF42" s="157">
        <f t="shared" si="189"/>
        <v>501.79500000000007</v>
      </c>
      <c r="LG42" s="157">
        <f t="shared" si="190"/>
        <v>836.32500000000005</v>
      </c>
      <c r="LH42" s="168">
        <f t="shared" si="191"/>
        <v>63.560699999999905</v>
      </c>
      <c r="LI42" s="168">
        <f t="shared" si="192"/>
        <v>95.341049999999868</v>
      </c>
      <c r="LJ42" s="168">
        <f t="shared" si="193"/>
        <v>158.90174999999977</v>
      </c>
      <c r="LK42" s="157">
        <f t="shared" si="194"/>
        <v>1995.0548763338627</v>
      </c>
      <c r="LL42" s="168">
        <f t="shared" si="195"/>
        <v>36.403049999999951</v>
      </c>
      <c r="LM42" s="168">
        <f t="shared" si="196"/>
        <v>137.68598308560701</v>
      </c>
      <c r="LN42" s="168">
        <f t="shared" si="197"/>
        <v>537.96217650343306</v>
      </c>
      <c r="LO42" s="168">
        <f t="shared" si="198"/>
        <v>379.06042650343329</v>
      </c>
      <c r="LP42" s="168">
        <f t="shared" si="199"/>
        <v>862.79910958903974</v>
      </c>
      <c r="LQ42" s="157">
        <f t="shared" si="200"/>
        <v>191.59500000000003</v>
      </c>
      <c r="LR42" s="168">
        <f t="shared" si="201"/>
        <v>95.341049999999868</v>
      </c>
      <c r="LT42" s="168">
        <f t="shared" si="202"/>
        <v>329.57399999999944</v>
      </c>
      <c r="LU42" s="168">
        <f t="shared" si="203"/>
        <v>142.42304999999976</v>
      </c>
      <c r="LV42" s="181"/>
      <c r="LY42" s="168">
        <f t="shared" ref="LY42:LZ57" si="291">LY41</f>
        <v>2.5</v>
      </c>
      <c r="LZ42" s="161">
        <f t="shared" si="291"/>
        <v>350</v>
      </c>
      <c r="MA42" s="161">
        <f t="shared" si="48"/>
        <v>525</v>
      </c>
      <c r="MB42" s="161">
        <f t="shared" si="49"/>
        <v>875</v>
      </c>
      <c r="MC42" s="161">
        <v>189.99999999999969</v>
      </c>
      <c r="MD42" s="168">
        <f t="shared" si="204"/>
        <v>2.5</v>
      </c>
      <c r="ME42" s="161">
        <v>350</v>
      </c>
      <c r="MF42" s="161">
        <v>525</v>
      </c>
      <c r="MG42" s="161">
        <v>875</v>
      </c>
      <c r="MH42" s="168">
        <f t="shared" ref="MH42:MH57" si="292">MH41</f>
        <v>0.56785714285714284</v>
      </c>
      <c r="MI42" s="154">
        <f t="shared" si="205"/>
        <v>21</v>
      </c>
      <c r="MJ42" s="181">
        <f t="shared" si="206"/>
        <v>13.584745762711865</v>
      </c>
      <c r="MK42" s="181">
        <f t="shared" si="207"/>
        <v>3.8830508474576284</v>
      </c>
      <c r="ML42" s="154">
        <f t="shared" si="208"/>
        <v>-3.5</v>
      </c>
      <c r="MM42" s="181">
        <f t="shared" si="209"/>
        <v>7.2999999999999989</v>
      </c>
      <c r="MN42" s="181">
        <f t="shared" si="210"/>
        <v>7.2999999999999989</v>
      </c>
      <c r="MO42" s="181">
        <f t="shared" si="211"/>
        <v>15</v>
      </c>
      <c r="MP42" s="181">
        <f t="shared" si="212"/>
        <v>0</v>
      </c>
      <c r="MQ42" s="157">
        <f t="shared" si="50"/>
        <v>686.87999999999988</v>
      </c>
      <c r="MR42" s="157">
        <f t="shared" si="213"/>
        <v>1734.6</v>
      </c>
      <c r="MS42" s="157">
        <f t="shared" si="214"/>
        <v>489.72</v>
      </c>
      <c r="MT42" s="157">
        <f t="shared" si="215"/>
        <v>558</v>
      </c>
      <c r="MU42" s="157">
        <f t="shared" si="216"/>
        <v>2160.9</v>
      </c>
      <c r="MV42" s="157">
        <f t="shared" si="217"/>
        <v>724.66306887161704</v>
      </c>
      <c r="MW42" s="157">
        <f t="shared" si="218"/>
        <v>2718.9</v>
      </c>
      <c r="MX42" s="200">
        <f t="shared" si="219"/>
        <v>1</v>
      </c>
      <c r="MY42" s="157">
        <f t="shared" si="220"/>
        <v>724.66306887161704</v>
      </c>
      <c r="MZ42" s="157">
        <f t="shared" si="221"/>
        <v>645.54794520547944</v>
      </c>
      <c r="NA42" s="162">
        <f t="shared" si="222"/>
        <v>3129.5048763338627</v>
      </c>
      <c r="NB42" s="157">
        <f t="shared" si="223"/>
        <v>875</v>
      </c>
      <c r="NC42" s="157">
        <f t="shared" si="224"/>
        <v>525</v>
      </c>
      <c r="ND42" s="207">
        <f t="shared" si="51"/>
        <v>350</v>
      </c>
      <c r="NE42" s="207">
        <f t="shared" si="225"/>
        <v>350</v>
      </c>
      <c r="NF42" s="157">
        <f t="shared" si="226"/>
        <v>350</v>
      </c>
      <c r="NG42" s="157">
        <f t="shared" si="52"/>
        <v>525</v>
      </c>
      <c r="NH42" s="157">
        <f t="shared" si="53"/>
        <v>875</v>
      </c>
      <c r="NI42" s="168">
        <f t="shared" si="227"/>
        <v>66.499999999999886</v>
      </c>
      <c r="NJ42" s="168">
        <f t="shared" si="228"/>
        <v>99.749999999999844</v>
      </c>
      <c r="NK42" s="168">
        <f t="shared" si="229"/>
        <v>166.24999999999972</v>
      </c>
      <c r="NL42" s="157">
        <f t="shared" si="230"/>
        <v>2254.5048763338627</v>
      </c>
      <c r="NM42" s="168">
        <f t="shared" si="231"/>
        <v>93.046799999999848</v>
      </c>
      <c r="NN42" s="168">
        <f t="shared" si="232"/>
        <v>137.68598308560701</v>
      </c>
      <c r="NO42" s="168">
        <f t="shared" si="233"/>
        <v>594.6059265034329</v>
      </c>
      <c r="NP42" s="168">
        <f t="shared" si="234"/>
        <v>428.35592650343318</v>
      </c>
      <c r="NQ42" s="168">
        <f t="shared" si="235"/>
        <v>862.79910958903974</v>
      </c>
      <c r="NR42" s="157">
        <f t="shared" si="236"/>
        <v>489.72</v>
      </c>
      <c r="NS42" s="168">
        <f t="shared" si="237"/>
        <v>99.749999999999844</v>
      </c>
      <c r="NT42" s="157">
        <f t="shared" si="238"/>
        <v>4541.0479452054797</v>
      </c>
      <c r="NU42" s="168">
        <f t="shared" si="239"/>
        <v>329.57399999999944</v>
      </c>
      <c r="NV42" s="168">
        <f t="shared" si="240"/>
        <v>199.06679999999966</v>
      </c>
      <c r="NW42" s="181"/>
      <c r="NX42" s="157"/>
      <c r="NY42" s="157"/>
      <c r="NZ42" s="157"/>
      <c r="OA42" s="157"/>
      <c r="OB42" s="157"/>
    </row>
    <row r="43" spans="1:392" ht="13" x14ac:dyDescent="0.3">
      <c r="A43" s="154">
        <v>18.755707762557076</v>
      </c>
      <c r="B43" s="154">
        <v>-2.5</v>
      </c>
      <c r="C43" s="154">
        <f t="shared" si="241"/>
        <v>-2.5</v>
      </c>
      <c r="D43" s="154">
        <v>4354.8000000000029</v>
      </c>
      <c r="E43" s="200">
        <f t="shared" si="242"/>
        <v>20.161111111111115</v>
      </c>
      <c r="F43" s="181">
        <f t="shared" si="54"/>
        <v>2072.7000000000003</v>
      </c>
      <c r="G43" s="161">
        <f t="shared" si="258"/>
        <v>216.00000000000009</v>
      </c>
      <c r="H43" s="154">
        <f t="shared" si="55"/>
        <v>2.0727000000000002</v>
      </c>
      <c r="I43" s="161">
        <f t="shared" si="56"/>
        <v>5076.0000000000018</v>
      </c>
      <c r="J43" s="181">
        <f t="shared" si="57"/>
        <v>21</v>
      </c>
      <c r="K43" s="181">
        <f t="shared" si="58"/>
        <v>13.584745762711865</v>
      </c>
      <c r="L43" s="181">
        <f t="shared" si="59"/>
        <v>4.4509079903147697</v>
      </c>
      <c r="M43" s="181">
        <f t="shared" si="60"/>
        <v>-2.5</v>
      </c>
      <c r="N43" s="181">
        <f t="shared" si="61"/>
        <v>7.6678571428571445</v>
      </c>
      <c r="O43" s="181">
        <f t="shared" si="62"/>
        <v>7.6678571428571445</v>
      </c>
      <c r="P43" s="181">
        <f t="shared" si="63"/>
        <v>15</v>
      </c>
      <c r="Q43" s="181">
        <f t="shared" si="64"/>
        <v>13.171001796945195</v>
      </c>
      <c r="R43" s="168">
        <f t="shared" si="65"/>
        <v>189.00000000000009</v>
      </c>
      <c r="S43" s="161">
        <f t="shared" si="66"/>
        <v>803.35465280216511</v>
      </c>
      <c r="T43" s="161">
        <f t="shared" si="67"/>
        <v>66.400124924614474</v>
      </c>
      <c r="U43" s="161">
        <f t="shared" si="68"/>
        <v>55.97852993260576</v>
      </c>
      <c r="V43" s="154">
        <f t="shared" si="69"/>
        <v>0.46632428571428558</v>
      </c>
      <c r="W43" s="154">
        <f t="shared" si="70"/>
        <v>2.1975587894280117</v>
      </c>
      <c r="X43" s="154">
        <f t="shared" si="71"/>
        <v>3.719234503713726</v>
      </c>
      <c r="Y43" s="154">
        <f t="shared" si="72"/>
        <v>4.3820479452054801</v>
      </c>
      <c r="Z43" s="154">
        <f t="shared" si="73"/>
        <v>1.6637999999999999</v>
      </c>
      <c r="AA43" s="154">
        <f t="shared" si="74"/>
        <v>0.66281344149175403</v>
      </c>
      <c r="AB43" s="154">
        <f t="shared" si="26"/>
        <v>3.0725587894280117</v>
      </c>
      <c r="AC43" s="154">
        <f t="shared" si="27"/>
        <v>0.64554794520547942</v>
      </c>
      <c r="AD43" s="154">
        <f t="shared" si="28"/>
        <v>0.35</v>
      </c>
      <c r="AE43" s="154">
        <f t="shared" si="29"/>
        <v>0.52500000000000002</v>
      </c>
      <c r="AF43" s="154">
        <f t="shared" si="30"/>
        <v>0.875</v>
      </c>
      <c r="AG43" s="154">
        <f t="shared" si="75"/>
        <v>0.64667571428571435</v>
      </c>
      <c r="AH43" s="154">
        <f t="shared" si="76"/>
        <v>1.5216757142857142</v>
      </c>
      <c r="AI43" s="154">
        <f t="shared" si="77"/>
        <v>0.58732876712328763</v>
      </c>
      <c r="AJ43" s="154">
        <f t="shared" si="78"/>
        <v>5.8219178082191785E-2</v>
      </c>
      <c r="AK43" s="154">
        <f t="shared" si="79"/>
        <v>0</v>
      </c>
      <c r="AL43" s="161">
        <f t="shared" si="80"/>
        <v>587.32876712328766</v>
      </c>
      <c r="AM43" s="161">
        <f t="shared" si="81"/>
        <v>58.219178082191782</v>
      </c>
      <c r="AN43" s="161">
        <f t="shared" si="82"/>
        <v>0</v>
      </c>
      <c r="AO43" s="161"/>
      <c r="AP43" s="154">
        <f t="shared" si="83"/>
        <v>0.64554794520547942</v>
      </c>
      <c r="AQ43" s="154">
        <f t="shared" si="84"/>
        <v>0.64554794520547942</v>
      </c>
      <c r="AR43" s="154">
        <f t="shared" si="85"/>
        <v>1.9879999999999998</v>
      </c>
      <c r="AS43" s="161"/>
      <c r="AT43" s="161"/>
      <c r="AU43" s="161"/>
      <c r="AV43" s="161"/>
      <c r="AW43" s="181"/>
      <c r="AX43" s="181"/>
      <c r="AY43" s="181"/>
      <c r="AZ43" s="181"/>
      <c r="BA43" s="181"/>
      <c r="BB43" s="161"/>
      <c r="BC43" s="161"/>
      <c r="BD43" s="161"/>
      <c r="BE43" s="181"/>
      <c r="BF43" s="168"/>
      <c r="BG43" s="181"/>
      <c r="BH43" s="168"/>
      <c r="BI43" s="168"/>
      <c r="BJ43" s="161"/>
      <c r="BK43" s="168"/>
      <c r="BL43" s="168"/>
      <c r="BM43" s="168"/>
      <c r="BN43" s="168"/>
      <c r="BO43" s="168">
        <f t="shared" si="86"/>
        <v>126.86301369863018</v>
      </c>
      <c r="BP43" s="168">
        <f t="shared" si="87"/>
        <v>12.57534246575343</v>
      </c>
      <c r="BQ43" s="168">
        <f t="shared" si="88"/>
        <v>0</v>
      </c>
      <c r="BR43" s="181"/>
      <c r="BS43" s="161"/>
      <c r="BT43" s="168"/>
      <c r="BU43" s="161"/>
      <c r="BV43" s="161"/>
      <c r="BW43" s="161"/>
      <c r="BX43" s="161"/>
      <c r="CB43" s="181">
        <f t="shared" si="89"/>
        <v>18.48776911544228</v>
      </c>
      <c r="CC43" s="181">
        <f t="shared" si="89"/>
        <v>0</v>
      </c>
      <c r="CD43" s="181">
        <f t="shared" si="89"/>
        <v>21.608736319340334</v>
      </c>
      <c r="CE43" s="181">
        <f t="shared" si="89"/>
        <v>0</v>
      </c>
      <c r="CF43" s="181">
        <f t="shared" si="89"/>
        <v>71.87995302348827</v>
      </c>
      <c r="CG43" s="181">
        <f t="shared" si="89"/>
        <v>0</v>
      </c>
      <c r="CH43" s="181">
        <f t="shared" si="89"/>
        <v>21.636983033483265</v>
      </c>
      <c r="CI43" s="181">
        <f t="shared" si="89"/>
        <v>0</v>
      </c>
      <c r="CJ43" s="182">
        <f t="shared" si="90"/>
        <v>133.61344149175414</v>
      </c>
      <c r="CK43" s="161">
        <f t="shared" si="91"/>
        <v>133.61344149175414</v>
      </c>
      <c r="CL43" s="161">
        <f t="shared" si="243"/>
        <v>529.19999999999993</v>
      </c>
      <c r="CM43" s="182">
        <f t="shared" si="92"/>
        <v>662.81344149175402</v>
      </c>
      <c r="CN43" s="157">
        <f t="shared" si="93"/>
        <v>28.860503362218907</v>
      </c>
      <c r="CO43" s="162">
        <f t="shared" si="94"/>
        <v>662.81344149175402</v>
      </c>
      <c r="FT43" s="168">
        <f t="shared" si="244"/>
        <v>2.5</v>
      </c>
      <c r="FU43" s="161">
        <f t="shared" si="245"/>
        <v>350</v>
      </c>
      <c r="FV43" s="161">
        <f t="shared" si="33"/>
        <v>525</v>
      </c>
      <c r="FW43" s="161">
        <f t="shared" si="95"/>
        <v>875</v>
      </c>
      <c r="FX43" s="161">
        <v>216.00000000000009</v>
      </c>
      <c r="FY43" s="168">
        <f t="shared" si="96"/>
        <v>2.5</v>
      </c>
      <c r="FZ43" s="161">
        <v>350</v>
      </c>
      <c r="GA43" s="161">
        <v>525</v>
      </c>
      <c r="GB43" s="161">
        <v>875</v>
      </c>
      <c r="GC43" s="168">
        <f t="shared" si="246"/>
        <v>0.56785714285714284</v>
      </c>
      <c r="GD43" s="154">
        <f t="shared" si="97"/>
        <v>21</v>
      </c>
      <c r="GE43" s="181">
        <f t="shared" si="98"/>
        <v>13.584745762711865</v>
      </c>
      <c r="GF43" s="181">
        <f t="shared" si="34"/>
        <v>4.4509079903147697</v>
      </c>
      <c r="GG43" s="154">
        <f t="shared" si="99"/>
        <v>-2.5</v>
      </c>
      <c r="GH43" s="181">
        <f t="shared" si="100"/>
        <v>7.6678571428571445</v>
      </c>
      <c r="GI43" s="181">
        <f t="shared" si="101"/>
        <v>21.425718778077272</v>
      </c>
      <c r="GJ43" s="181">
        <f t="shared" si="102"/>
        <v>21.425718778077272</v>
      </c>
      <c r="GK43" s="181">
        <f t="shared" si="103"/>
        <v>0</v>
      </c>
      <c r="GL43" s="157">
        <f t="shared" si="104"/>
        <v>646.67571428571432</v>
      </c>
      <c r="GM43" s="157">
        <f t="shared" si="105"/>
        <v>1663.8</v>
      </c>
      <c r="GN43" s="157">
        <f t="shared" si="106"/>
        <v>0</v>
      </c>
      <c r="GO43" s="157">
        <f t="shared" si="107"/>
        <v>1017.1242857142856</v>
      </c>
      <c r="GP43" s="157">
        <f t="shared" si="108"/>
        <v>2072.7000000000003</v>
      </c>
      <c r="GQ43" s="157">
        <f t="shared" si="109"/>
        <v>662.81344149175402</v>
      </c>
      <c r="GR43" s="157">
        <f t="shared" si="110"/>
        <v>3089.8242857142859</v>
      </c>
      <c r="GS43" s="200">
        <f t="shared" si="111"/>
        <v>1</v>
      </c>
      <c r="GT43" s="157">
        <f t="shared" si="112"/>
        <v>662.81344149175402</v>
      </c>
      <c r="GU43" s="157">
        <f t="shared" si="113"/>
        <v>645.54794520547944</v>
      </c>
      <c r="GV43" s="162">
        <f t="shared" si="114"/>
        <v>3072.5587894280116</v>
      </c>
      <c r="GW43" s="157">
        <f t="shared" si="115"/>
        <v>875</v>
      </c>
      <c r="GX43" s="157">
        <f t="shared" si="247"/>
        <v>525</v>
      </c>
      <c r="GY43" s="207">
        <f t="shared" si="35"/>
        <v>350</v>
      </c>
      <c r="GZ43" s="207">
        <f t="shared" si="116"/>
        <v>350</v>
      </c>
      <c r="HA43" s="157">
        <f t="shared" si="117"/>
        <v>350</v>
      </c>
      <c r="HB43" s="157">
        <f t="shared" si="36"/>
        <v>525</v>
      </c>
      <c r="HC43" s="157">
        <f t="shared" si="37"/>
        <v>875</v>
      </c>
      <c r="HD43" s="168">
        <f t="shared" si="38"/>
        <v>75.600000000000023</v>
      </c>
      <c r="HE43" s="168">
        <f t="shared" si="118"/>
        <v>113.40000000000005</v>
      </c>
      <c r="HF43" s="168">
        <f t="shared" si="39"/>
        <v>189.00000000000009</v>
      </c>
      <c r="HG43" s="157">
        <f t="shared" si="119"/>
        <v>2197.5587894280116</v>
      </c>
      <c r="HH43" s="168">
        <f t="shared" si="120"/>
        <v>0</v>
      </c>
      <c r="HI43" s="168">
        <f t="shared" si="121"/>
        <v>143.16770336221893</v>
      </c>
      <c r="HJ43" s="168">
        <f t="shared" si="122"/>
        <v>663.67269851645085</v>
      </c>
      <c r="HK43" s="168">
        <f t="shared" si="123"/>
        <v>474.67269851645074</v>
      </c>
      <c r="HL43" s="168">
        <f t="shared" si="124"/>
        <v>946.52235616438384</v>
      </c>
      <c r="HM43" s="157">
        <f t="shared" si="125"/>
        <v>875</v>
      </c>
      <c r="HN43" s="168">
        <f t="shared" si="126"/>
        <v>113.40000000000005</v>
      </c>
      <c r="HP43" s="168">
        <f t="shared" si="127"/>
        <v>359.38080000000014</v>
      </c>
      <c r="HQ43" s="168">
        <f t="shared" si="128"/>
        <v>219.6988457142858</v>
      </c>
      <c r="HR43" s="181"/>
      <c r="HU43" s="168">
        <f t="shared" si="287"/>
        <v>2.5</v>
      </c>
      <c r="HV43" s="161">
        <f t="shared" si="287"/>
        <v>350</v>
      </c>
      <c r="HW43" s="161">
        <f t="shared" si="40"/>
        <v>525</v>
      </c>
      <c r="HX43" s="161">
        <f t="shared" si="41"/>
        <v>875</v>
      </c>
      <c r="HY43" s="161">
        <v>216.00000000000009</v>
      </c>
      <c r="HZ43" s="168">
        <f t="shared" si="129"/>
        <v>2.5</v>
      </c>
      <c r="IA43" s="161">
        <v>350</v>
      </c>
      <c r="IB43" s="161">
        <v>525</v>
      </c>
      <c r="IC43" s="161">
        <v>875</v>
      </c>
      <c r="ID43" s="168">
        <f t="shared" si="288"/>
        <v>0.56785714285714284</v>
      </c>
      <c r="IE43" s="154">
        <f t="shared" si="130"/>
        <v>21</v>
      </c>
      <c r="IF43" s="154">
        <f t="shared" si="131"/>
        <v>-2.5</v>
      </c>
      <c r="IG43" s="181">
        <f t="shared" si="132"/>
        <v>7.6553571428571434</v>
      </c>
      <c r="IH43" s="181">
        <f t="shared" si="133"/>
        <v>12.355357142857143</v>
      </c>
      <c r="II43" s="181">
        <f t="shared" si="134"/>
        <v>0.2401029055690076</v>
      </c>
      <c r="IJ43" s="181">
        <f t="shared" si="135"/>
        <v>26.113218778077268</v>
      </c>
      <c r="IK43" s="181">
        <f t="shared" si="136"/>
        <v>26.113218778077268</v>
      </c>
      <c r="IL43" s="181">
        <f t="shared" si="250"/>
        <v>0</v>
      </c>
      <c r="IM43" s="181">
        <f t="shared" si="137"/>
        <v>0</v>
      </c>
      <c r="IN43" s="157">
        <f t="shared" si="138"/>
        <v>944.80071428571421</v>
      </c>
      <c r="IO43" s="157">
        <f t="shared" si="139"/>
        <v>1663.8</v>
      </c>
      <c r="IP43" s="157">
        <f t="shared" si="42"/>
        <v>0</v>
      </c>
      <c r="IQ43" s="157">
        <f t="shared" si="43"/>
        <v>718.99928571428575</v>
      </c>
      <c r="IR43" s="157">
        <f t="shared" si="140"/>
        <v>2072.7000000000003</v>
      </c>
      <c r="IS43" s="157">
        <f t="shared" si="141"/>
        <v>662.81344149175402</v>
      </c>
      <c r="IT43" s="157">
        <f t="shared" si="142"/>
        <v>2791.6992857142859</v>
      </c>
      <c r="IU43" s="200">
        <f t="shared" si="143"/>
        <v>1</v>
      </c>
      <c r="IV43" s="157">
        <f t="shared" si="144"/>
        <v>662.81344149175402</v>
      </c>
      <c r="IW43" s="157">
        <f t="shared" si="145"/>
        <v>645.54794520547944</v>
      </c>
      <c r="IX43" s="162">
        <f t="shared" si="146"/>
        <v>2774.4337894280116</v>
      </c>
      <c r="IY43" s="157">
        <f t="shared" si="22"/>
        <v>875</v>
      </c>
      <c r="IZ43" s="157">
        <f t="shared" si="147"/>
        <v>525</v>
      </c>
      <c r="JA43" s="207">
        <f t="shared" si="148"/>
        <v>350</v>
      </c>
      <c r="JB43" s="207">
        <f t="shared" si="149"/>
        <v>350</v>
      </c>
      <c r="JC43" s="157">
        <f t="shared" si="150"/>
        <v>350</v>
      </c>
      <c r="JD43" s="157">
        <f t="shared" si="151"/>
        <v>525</v>
      </c>
      <c r="JE43" s="157">
        <f t="shared" si="152"/>
        <v>875</v>
      </c>
      <c r="JF43" s="168">
        <f t="shared" si="153"/>
        <v>75.600000000000023</v>
      </c>
      <c r="JG43" s="168">
        <f t="shared" si="154"/>
        <v>113.40000000000005</v>
      </c>
      <c r="JH43" s="168">
        <f t="shared" si="155"/>
        <v>189.00000000000009</v>
      </c>
      <c r="JI43" s="157">
        <f t="shared" si="156"/>
        <v>1899.4337894280116</v>
      </c>
      <c r="JJ43" s="168">
        <f t="shared" si="157"/>
        <v>0</v>
      </c>
      <c r="JK43" s="168">
        <f t="shared" si="158"/>
        <v>143.16770336221893</v>
      </c>
      <c r="JL43" s="168">
        <f t="shared" si="159"/>
        <v>599.27769851645076</v>
      </c>
      <c r="JM43" s="168">
        <f t="shared" si="160"/>
        <v>410.27769851645064</v>
      </c>
      <c r="JN43" s="168">
        <f t="shared" si="161"/>
        <v>946.52235616438384</v>
      </c>
      <c r="JO43" s="157">
        <f t="shared" si="162"/>
        <v>168.19928571428579</v>
      </c>
      <c r="JP43" s="168">
        <f t="shared" si="163"/>
        <v>113.40000000000005</v>
      </c>
      <c r="JR43" s="168">
        <f t="shared" si="164"/>
        <v>359.38080000000014</v>
      </c>
      <c r="JS43" s="168">
        <f t="shared" si="165"/>
        <v>155.30384571428579</v>
      </c>
      <c r="JT43" s="181"/>
      <c r="JW43" s="168">
        <f t="shared" ref="JW43:JX43" si="293">JW42</f>
        <v>2.5</v>
      </c>
      <c r="JX43" s="161">
        <f t="shared" si="293"/>
        <v>350</v>
      </c>
      <c r="JY43" s="161">
        <f t="shared" si="44"/>
        <v>525</v>
      </c>
      <c r="JZ43" s="161">
        <f t="shared" si="45"/>
        <v>875</v>
      </c>
      <c r="KA43" s="161">
        <v>216.00000000000009</v>
      </c>
      <c r="KB43" s="168">
        <f t="shared" si="166"/>
        <v>2.5</v>
      </c>
      <c r="KC43" s="161">
        <v>350</v>
      </c>
      <c r="KD43" s="161">
        <v>525</v>
      </c>
      <c r="KE43" s="161">
        <v>875</v>
      </c>
      <c r="KF43" s="168">
        <f t="shared" ref="KF43" si="294">KF42</f>
        <v>0.56785714285714284</v>
      </c>
      <c r="KG43" s="154">
        <f t="shared" si="167"/>
        <v>21</v>
      </c>
      <c r="KH43" s="154">
        <f t="shared" si="168"/>
        <v>-2.5</v>
      </c>
      <c r="KI43" s="181">
        <f t="shared" si="169"/>
        <v>7.6553571428571434</v>
      </c>
      <c r="KJ43" s="181">
        <f t="shared" si="170"/>
        <v>12.355357142857143</v>
      </c>
      <c r="KK43" s="181">
        <f t="shared" si="171"/>
        <v>0.2401029055690076</v>
      </c>
      <c r="KL43" s="181">
        <f t="shared" si="172"/>
        <v>12.355357142857143</v>
      </c>
      <c r="KM43" s="181">
        <f t="shared" si="173"/>
        <v>15</v>
      </c>
      <c r="KN43" s="181">
        <f t="shared" si="253"/>
        <v>0</v>
      </c>
      <c r="KO43" s="181">
        <f t="shared" si="174"/>
        <v>0</v>
      </c>
      <c r="KP43" s="157">
        <f t="shared" si="175"/>
        <v>944.80071428571421</v>
      </c>
      <c r="KQ43" s="157">
        <f t="shared" si="46"/>
        <v>1663.8</v>
      </c>
      <c r="KR43" s="157">
        <f t="shared" si="176"/>
        <v>168.19928571428571</v>
      </c>
      <c r="KS43" s="157">
        <f t="shared" si="177"/>
        <v>550.80000000000007</v>
      </c>
      <c r="KT43" s="157">
        <f t="shared" si="178"/>
        <v>2072.7000000000003</v>
      </c>
      <c r="KU43" s="157">
        <f t="shared" si="179"/>
        <v>662.81344149175402</v>
      </c>
      <c r="KV43" s="157">
        <f t="shared" si="180"/>
        <v>2623.5000000000005</v>
      </c>
      <c r="KW43" s="200">
        <f t="shared" si="181"/>
        <v>1</v>
      </c>
      <c r="KX43" s="157">
        <f t="shared" si="182"/>
        <v>662.81344149175402</v>
      </c>
      <c r="KY43" s="157">
        <f t="shared" si="183"/>
        <v>645.54794520547944</v>
      </c>
      <c r="KZ43" s="162">
        <f t="shared" si="47"/>
        <v>2774.4337894280116</v>
      </c>
      <c r="LA43" s="157">
        <f t="shared" si="184"/>
        <v>875</v>
      </c>
      <c r="LB43" s="157">
        <f t="shared" si="185"/>
        <v>525</v>
      </c>
      <c r="LC43" s="207">
        <f t="shared" si="186"/>
        <v>350</v>
      </c>
      <c r="LD43" s="207">
        <f t="shared" si="187"/>
        <v>350</v>
      </c>
      <c r="LE43" s="157">
        <f t="shared" si="188"/>
        <v>350</v>
      </c>
      <c r="LF43" s="157">
        <f t="shared" si="189"/>
        <v>525</v>
      </c>
      <c r="LG43" s="157">
        <f t="shared" si="190"/>
        <v>875</v>
      </c>
      <c r="LH43" s="168">
        <f t="shared" si="191"/>
        <v>75.600000000000023</v>
      </c>
      <c r="LI43" s="168">
        <f t="shared" si="192"/>
        <v>113.40000000000005</v>
      </c>
      <c r="LJ43" s="168">
        <f t="shared" si="193"/>
        <v>189.00000000000009</v>
      </c>
      <c r="LK43" s="157">
        <f t="shared" si="194"/>
        <v>1899.4337894280116</v>
      </c>
      <c r="LL43" s="168">
        <f t="shared" si="195"/>
        <v>36.331045714285729</v>
      </c>
      <c r="LM43" s="168">
        <f t="shared" si="196"/>
        <v>143.16770336221893</v>
      </c>
      <c r="LN43" s="168">
        <f t="shared" si="197"/>
        <v>599.27769851645076</v>
      </c>
      <c r="LO43" s="168">
        <f t="shared" si="198"/>
        <v>410.27769851645064</v>
      </c>
      <c r="LP43" s="168">
        <f t="shared" si="199"/>
        <v>946.52235616438384</v>
      </c>
      <c r="LQ43" s="157">
        <f t="shared" si="200"/>
        <v>168.19928571428579</v>
      </c>
      <c r="LR43" s="168">
        <f t="shared" si="201"/>
        <v>113.40000000000005</v>
      </c>
      <c r="LT43" s="168">
        <f t="shared" si="202"/>
        <v>359.38080000000014</v>
      </c>
      <c r="LU43" s="168">
        <f t="shared" si="203"/>
        <v>155.30384571428579</v>
      </c>
      <c r="LV43" s="181"/>
      <c r="LY43" s="168">
        <f t="shared" si="291"/>
        <v>2.5</v>
      </c>
      <c r="LZ43" s="161">
        <f t="shared" si="291"/>
        <v>350</v>
      </c>
      <c r="MA43" s="161">
        <f t="shared" si="48"/>
        <v>525</v>
      </c>
      <c r="MB43" s="161">
        <f t="shared" si="49"/>
        <v>875</v>
      </c>
      <c r="MC43" s="161">
        <v>216.00000000000009</v>
      </c>
      <c r="MD43" s="168">
        <f t="shared" si="204"/>
        <v>2.5</v>
      </c>
      <c r="ME43" s="161">
        <v>350</v>
      </c>
      <c r="MF43" s="161">
        <v>525</v>
      </c>
      <c r="MG43" s="161">
        <v>875</v>
      </c>
      <c r="MH43" s="168">
        <f t="shared" si="292"/>
        <v>0.56785714285714284</v>
      </c>
      <c r="MI43" s="154">
        <f t="shared" si="205"/>
        <v>21</v>
      </c>
      <c r="MJ43" s="181">
        <f t="shared" si="206"/>
        <v>13.584745762711865</v>
      </c>
      <c r="MK43" s="181">
        <f t="shared" si="207"/>
        <v>4.4509079903147697</v>
      </c>
      <c r="ML43" s="154">
        <f t="shared" si="208"/>
        <v>-2.5</v>
      </c>
      <c r="MM43" s="181">
        <f t="shared" si="209"/>
        <v>7.6678571428571445</v>
      </c>
      <c r="MN43" s="181">
        <f t="shared" si="210"/>
        <v>7.6678571428571445</v>
      </c>
      <c r="MO43" s="181">
        <f t="shared" si="211"/>
        <v>15</v>
      </c>
      <c r="MP43" s="181">
        <f t="shared" si="212"/>
        <v>0</v>
      </c>
      <c r="MQ43" s="157">
        <f t="shared" si="50"/>
        <v>646.67571428571432</v>
      </c>
      <c r="MR43" s="157">
        <f t="shared" si="213"/>
        <v>1663.8</v>
      </c>
      <c r="MS43" s="157">
        <f t="shared" si="214"/>
        <v>466.32428571428557</v>
      </c>
      <c r="MT43" s="157">
        <f t="shared" si="215"/>
        <v>550.80000000000007</v>
      </c>
      <c r="MU43" s="157">
        <f t="shared" si="216"/>
        <v>2072.7000000000003</v>
      </c>
      <c r="MV43" s="157">
        <f t="shared" si="217"/>
        <v>662.81344149175402</v>
      </c>
      <c r="MW43" s="157">
        <f t="shared" si="218"/>
        <v>2623.5000000000005</v>
      </c>
      <c r="MX43" s="200">
        <f t="shared" si="219"/>
        <v>1</v>
      </c>
      <c r="MY43" s="157">
        <f t="shared" si="220"/>
        <v>662.81344149175402</v>
      </c>
      <c r="MZ43" s="157">
        <f t="shared" si="221"/>
        <v>645.54794520547944</v>
      </c>
      <c r="NA43" s="162">
        <f t="shared" si="222"/>
        <v>3072.5587894280116</v>
      </c>
      <c r="NB43" s="157">
        <f t="shared" si="223"/>
        <v>875</v>
      </c>
      <c r="NC43" s="157">
        <f t="shared" si="224"/>
        <v>525</v>
      </c>
      <c r="ND43" s="207">
        <f t="shared" si="51"/>
        <v>350</v>
      </c>
      <c r="NE43" s="207">
        <f t="shared" si="225"/>
        <v>350</v>
      </c>
      <c r="NF43" s="157">
        <f t="shared" si="226"/>
        <v>350</v>
      </c>
      <c r="NG43" s="157">
        <f t="shared" si="52"/>
        <v>525</v>
      </c>
      <c r="NH43" s="157">
        <f t="shared" si="53"/>
        <v>875</v>
      </c>
      <c r="NI43" s="168">
        <f t="shared" si="227"/>
        <v>75.600000000000023</v>
      </c>
      <c r="NJ43" s="168">
        <f t="shared" si="228"/>
        <v>113.40000000000005</v>
      </c>
      <c r="NK43" s="168">
        <f t="shared" si="229"/>
        <v>189.00000000000009</v>
      </c>
      <c r="NL43" s="157">
        <f t="shared" si="230"/>
        <v>2197.5587894280116</v>
      </c>
      <c r="NM43" s="168">
        <f t="shared" si="231"/>
        <v>100.72604571428573</v>
      </c>
      <c r="NN43" s="168">
        <f t="shared" si="232"/>
        <v>143.16770336221893</v>
      </c>
      <c r="NO43" s="168">
        <f t="shared" si="233"/>
        <v>663.67269851645085</v>
      </c>
      <c r="NP43" s="168">
        <f t="shared" si="234"/>
        <v>474.67269851645074</v>
      </c>
      <c r="NQ43" s="168">
        <f t="shared" si="235"/>
        <v>946.52235616438384</v>
      </c>
      <c r="NR43" s="157">
        <f t="shared" si="236"/>
        <v>466.32428571428568</v>
      </c>
      <c r="NS43" s="168">
        <f t="shared" si="237"/>
        <v>113.40000000000005</v>
      </c>
      <c r="NT43" s="157">
        <f t="shared" si="238"/>
        <v>4382.0479452054797</v>
      </c>
      <c r="NU43" s="168">
        <f t="shared" si="239"/>
        <v>359.38080000000014</v>
      </c>
      <c r="NV43" s="168">
        <f t="shared" si="240"/>
        <v>219.6988457142858</v>
      </c>
      <c r="NW43" s="181"/>
      <c r="NX43" s="157"/>
      <c r="NY43" s="157"/>
      <c r="NZ43" s="157"/>
      <c r="OA43" s="157"/>
      <c r="OB43" s="157"/>
    </row>
    <row r="44" spans="1:392" ht="13" x14ac:dyDescent="0.3">
      <c r="A44" s="154">
        <v>21.44977168949772</v>
      </c>
      <c r="B44" s="154">
        <v>-1.5</v>
      </c>
      <c r="C44" s="154">
        <f t="shared" si="241"/>
        <v>-1.5</v>
      </c>
      <c r="D44" s="154">
        <v>7134.0999999999985</v>
      </c>
      <c r="E44" s="200">
        <f t="shared" si="242"/>
        <v>30.22923728813554</v>
      </c>
      <c r="F44" s="181">
        <f t="shared" si="54"/>
        <v>1984.5</v>
      </c>
      <c r="G44" s="161">
        <f t="shared" si="258"/>
        <v>236.00000000000037</v>
      </c>
      <c r="H44" s="154">
        <f t="shared" si="55"/>
        <v>1.9844999999999999</v>
      </c>
      <c r="I44" s="161">
        <f t="shared" si="56"/>
        <v>5310.0000000000082</v>
      </c>
      <c r="J44" s="181">
        <f t="shared" si="57"/>
        <v>21</v>
      </c>
      <c r="K44" s="181">
        <f t="shared" si="58"/>
        <v>13.584745762711865</v>
      </c>
      <c r="L44" s="181">
        <f t="shared" si="59"/>
        <v>5.0187651331719128</v>
      </c>
      <c r="M44" s="181">
        <f t="shared" si="60"/>
        <v>-1.5</v>
      </c>
      <c r="N44" s="181">
        <f t="shared" si="61"/>
        <v>8.0357142857142865</v>
      </c>
      <c r="O44" s="181">
        <f t="shared" si="62"/>
        <v>8.0357142857142865</v>
      </c>
      <c r="P44" s="181">
        <f t="shared" si="63"/>
        <v>15</v>
      </c>
      <c r="Q44" s="181">
        <f t="shared" si="64"/>
        <v>13.538858939802338</v>
      </c>
      <c r="R44" s="168">
        <f t="shared" si="65"/>
        <v>206.50000000000031</v>
      </c>
      <c r="S44" s="161">
        <f t="shared" si="66"/>
        <v>824.46839681819472</v>
      </c>
      <c r="T44" s="161">
        <f t="shared" si="67"/>
        <v>64.90012492461446</v>
      </c>
      <c r="U44" s="161">
        <f t="shared" si="68"/>
        <v>53.429404968699593</v>
      </c>
      <c r="V44" s="154">
        <f t="shared" si="69"/>
        <v>0.44292857142857134</v>
      </c>
      <c r="W44" s="154">
        <f t="shared" si="70"/>
        <v>2.0120387274378655</v>
      </c>
      <c r="X44" s="154">
        <f t="shared" si="71"/>
        <v>3.493510156009294</v>
      </c>
      <c r="Y44" s="154">
        <f t="shared" si="72"/>
        <v>4.2230479452054794</v>
      </c>
      <c r="Z44" s="154">
        <f t="shared" si="73"/>
        <v>1.593</v>
      </c>
      <c r="AA44" s="154">
        <f t="shared" si="74"/>
        <v>0.72953778919618539</v>
      </c>
      <c r="AB44" s="154">
        <f t="shared" si="26"/>
        <v>2.8870387274378659</v>
      </c>
      <c r="AC44" s="154">
        <f t="shared" si="27"/>
        <v>0.64554794520547942</v>
      </c>
      <c r="AD44" s="154">
        <f t="shared" si="28"/>
        <v>0.35</v>
      </c>
      <c r="AE44" s="154">
        <f t="shared" si="29"/>
        <v>0.52500000000000002</v>
      </c>
      <c r="AF44" s="154">
        <f t="shared" si="30"/>
        <v>0.875</v>
      </c>
      <c r="AG44" s="154">
        <f t="shared" si="75"/>
        <v>0.60647142857142866</v>
      </c>
      <c r="AH44" s="154">
        <f t="shared" si="76"/>
        <v>1.4814714285714286</v>
      </c>
      <c r="AI44" s="154">
        <f t="shared" si="77"/>
        <v>0.58732876712328763</v>
      </c>
      <c r="AJ44" s="154">
        <f t="shared" si="78"/>
        <v>5.8219178082191785E-2</v>
      </c>
      <c r="AK44" s="154">
        <f t="shared" si="79"/>
        <v>0</v>
      </c>
      <c r="AL44" s="161">
        <f t="shared" si="80"/>
        <v>587.32876712328766</v>
      </c>
      <c r="AM44" s="161">
        <f t="shared" si="81"/>
        <v>58.219178082191782</v>
      </c>
      <c r="AN44" s="161">
        <f t="shared" si="82"/>
        <v>0</v>
      </c>
      <c r="AO44" s="161"/>
      <c r="AP44" s="154">
        <f t="shared" si="83"/>
        <v>0.64554794520547942</v>
      </c>
      <c r="AQ44" s="154">
        <f t="shared" si="84"/>
        <v>0.64554794520547942</v>
      </c>
      <c r="AR44" s="154">
        <f t="shared" si="85"/>
        <v>1.9243999999999999</v>
      </c>
      <c r="AS44" s="161"/>
      <c r="AT44" s="161"/>
      <c r="AU44" s="161"/>
      <c r="AV44" s="161"/>
      <c r="AW44" s="181"/>
      <c r="AX44" s="181"/>
      <c r="AY44" s="181"/>
      <c r="AZ44" s="181"/>
      <c r="BA44" s="181"/>
      <c r="BB44" s="161"/>
      <c r="BC44" s="161"/>
      <c r="BD44" s="161"/>
      <c r="BE44" s="181"/>
      <c r="BF44" s="168"/>
      <c r="BG44" s="181"/>
      <c r="BH44" s="168"/>
      <c r="BI44" s="168"/>
      <c r="BJ44" s="161"/>
      <c r="BK44" s="168"/>
      <c r="BL44" s="168"/>
      <c r="BM44" s="168"/>
      <c r="BN44" s="168"/>
      <c r="BO44" s="168">
        <f t="shared" si="86"/>
        <v>138.60958904109609</v>
      </c>
      <c r="BP44" s="168">
        <f t="shared" si="87"/>
        <v>13.739726027397282</v>
      </c>
      <c r="BQ44" s="168">
        <f t="shared" si="88"/>
        <v>0</v>
      </c>
      <c r="BR44" s="181"/>
      <c r="BS44" s="161"/>
      <c r="BT44" s="168"/>
      <c r="BU44" s="161"/>
      <c r="BV44" s="161"/>
      <c r="BW44" s="161"/>
      <c r="BX44" s="161"/>
      <c r="CB44" s="181">
        <f t="shared" si="89"/>
        <v>27.720255914415624</v>
      </c>
      <c r="CC44" s="181">
        <f t="shared" si="89"/>
        <v>0</v>
      </c>
      <c r="CD44" s="181">
        <f t="shared" si="89"/>
        <v>32.399782635694805</v>
      </c>
      <c r="CE44" s="181">
        <f t="shared" si="89"/>
        <v>0</v>
      </c>
      <c r="CF44" s="181">
        <f t="shared" si="89"/>
        <v>107.77561535334009</v>
      </c>
      <c r="CG44" s="181">
        <f t="shared" si="89"/>
        <v>0</v>
      </c>
      <c r="CH44" s="181">
        <f t="shared" si="89"/>
        <v>32.442135292734932</v>
      </c>
      <c r="CI44" s="181">
        <f t="shared" si="89"/>
        <v>0</v>
      </c>
      <c r="CJ44" s="182">
        <f t="shared" si="90"/>
        <v>200.33778919618544</v>
      </c>
      <c r="CK44" s="161">
        <f t="shared" si="91"/>
        <v>200.33778919618544</v>
      </c>
      <c r="CL44" s="161">
        <f t="shared" si="243"/>
        <v>529.19999999999993</v>
      </c>
      <c r="CM44" s="182">
        <f>CK44+CL44</f>
        <v>729.53778919618537</v>
      </c>
      <c r="CN44" s="157">
        <f t="shared" si="93"/>
        <v>47.279718250299837</v>
      </c>
      <c r="CO44" s="162">
        <f t="shared" si="94"/>
        <v>729.53778919618537</v>
      </c>
      <c r="FT44" s="168">
        <f t="shared" si="244"/>
        <v>2.5</v>
      </c>
      <c r="FU44" s="161">
        <f t="shared" si="245"/>
        <v>350</v>
      </c>
      <c r="FV44" s="161">
        <f t="shared" si="33"/>
        <v>525</v>
      </c>
      <c r="FW44" s="161">
        <f t="shared" si="95"/>
        <v>875</v>
      </c>
      <c r="FX44" s="161">
        <v>236.00000000000037</v>
      </c>
      <c r="FY44" s="168">
        <f t="shared" si="96"/>
        <v>2.5</v>
      </c>
      <c r="FZ44" s="161">
        <v>350</v>
      </c>
      <c r="GA44" s="161">
        <v>525</v>
      </c>
      <c r="GB44" s="161">
        <v>875</v>
      </c>
      <c r="GC44" s="168">
        <f t="shared" si="246"/>
        <v>0.56785714285714284</v>
      </c>
      <c r="GD44" s="154">
        <f t="shared" si="97"/>
        <v>21</v>
      </c>
      <c r="GE44" s="181">
        <f t="shared" si="98"/>
        <v>13.584745762711865</v>
      </c>
      <c r="GF44" s="181">
        <f t="shared" si="34"/>
        <v>5.0187651331719128</v>
      </c>
      <c r="GG44" s="154">
        <f t="shared" si="99"/>
        <v>-1.5</v>
      </c>
      <c r="GH44" s="181">
        <f t="shared" si="100"/>
        <v>8.0357142857142865</v>
      </c>
      <c r="GI44" s="181">
        <f t="shared" si="101"/>
        <v>21.793575920934416</v>
      </c>
      <c r="GJ44" s="181">
        <f t="shared" si="102"/>
        <v>21.793575920934416</v>
      </c>
      <c r="GK44" s="181">
        <f t="shared" si="103"/>
        <v>0</v>
      </c>
      <c r="GL44" s="157">
        <f t="shared" si="104"/>
        <v>606.47142857142865</v>
      </c>
      <c r="GM44" s="157">
        <f t="shared" si="105"/>
        <v>1593</v>
      </c>
      <c r="GN44" s="157">
        <f t="shared" si="106"/>
        <v>0</v>
      </c>
      <c r="GO44" s="157">
        <f t="shared" si="107"/>
        <v>986.52857142857135</v>
      </c>
      <c r="GP44" s="157">
        <f t="shared" si="108"/>
        <v>1984.5</v>
      </c>
      <c r="GQ44" s="157">
        <f t="shared" si="109"/>
        <v>729.53778919618537</v>
      </c>
      <c r="GR44" s="157">
        <f t="shared" si="110"/>
        <v>2971.0285714285715</v>
      </c>
      <c r="GS44" s="200">
        <f t="shared" si="111"/>
        <v>1</v>
      </c>
      <c r="GT44" s="157">
        <f t="shared" si="112"/>
        <v>729.53778919618537</v>
      </c>
      <c r="GU44" s="157">
        <f t="shared" si="113"/>
        <v>645.54794520547944</v>
      </c>
      <c r="GV44" s="162">
        <f t="shared" si="114"/>
        <v>2887.0387274378659</v>
      </c>
      <c r="GW44" s="157">
        <f t="shared" si="115"/>
        <v>875</v>
      </c>
      <c r="GX44" s="157">
        <f t="shared" si="247"/>
        <v>525</v>
      </c>
      <c r="GY44" s="207">
        <f t="shared" si="35"/>
        <v>350</v>
      </c>
      <c r="GZ44" s="207">
        <f t="shared" si="116"/>
        <v>350</v>
      </c>
      <c r="HA44" s="157">
        <f t="shared" si="117"/>
        <v>350</v>
      </c>
      <c r="HB44" s="157">
        <f t="shared" si="36"/>
        <v>525</v>
      </c>
      <c r="HC44" s="157">
        <f t="shared" si="37"/>
        <v>875</v>
      </c>
      <c r="HD44" s="168">
        <f t="shared" si="38"/>
        <v>82.600000000000122</v>
      </c>
      <c r="HE44" s="168">
        <f t="shared" si="118"/>
        <v>123.9000000000002</v>
      </c>
      <c r="HF44" s="168">
        <f t="shared" si="39"/>
        <v>206.50000000000031</v>
      </c>
      <c r="HG44" s="157">
        <f t="shared" si="119"/>
        <v>2012.0387274378659</v>
      </c>
      <c r="HH44" s="168">
        <f t="shared" si="120"/>
        <v>0</v>
      </c>
      <c r="HI44" s="168">
        <f t="shared" si="121"/>
        <v>172.17091825030002</v>
      </c>
      <c r="HJ44" s="168">
        <f t="shared" si="122"/>
        <v>681.34113967533744</v>
      </c>
      <c r="HK44" s="168">
        <f t="shared" si="123"/>
        <v>474.8411396753371</v>
      </c>
      <c r="HL44" s="168">
        <f t="shared" si="124"/>
        <v>996.63931506849474</v>
      </c>
      <c r="HM44" s="157">
        <f t="shared" si="125"/>
        <v>875.00000000000011</v>
      </c>
      <c r="HN44" s="168">
        <f t="shared" si="126"/>
        <v>123.9000000000002</v>
      </c>
      <c r="HP44" s="168">
        <f t="shared" si="127"/>
        <v>375.9480000000006</v>
      </c>
      <c r="HQ44" s="168">
        <f t="shared" si="128"/>
        <v>232.82074285714319</v>
      </c>
      <c r="HR44" s="181"/>
      <c r="HU44" s="168">
        <f t="shared" si="287"/>
        <v>2.5</v>
      </c>
      <c r="HV44" s="161">
        <f t="shared" si="287"/>
        <v>350</v>
      </c>
      <c r="HW44" s="161">
        <f t="shared" si="40"/>
        <v>525</v>
      </c>
      <c r="HX44" s="161">
        <f t="shared" si="41"/>
        <v>875</v>
      </c>
      <c r="HY44" s="161">
        <v>236.00000000000037</v>
      </c>
      <c r="HZ44" s="168">
        <f t="shared" si="129"/>
        <v>2.5</v>
      </c>
      <c r="IA44" s="161">
        <v>350</v>
      </c>
      <c r="IB44" s="161">
        <v>525</v>
      </c>
      <c r="IC44" s="161">
        <v>875</v>
      </c>
      <c r="ID44" s="168">
        <f t="shared" si="288"/>
        <v>0.56785714285714284</v>
      </c>
      <c r="IE44" s="154">
        <f t="shared" si="130"/>
        <v>21</v>
      </c>
      <c r="IF44" s="154">
        <f t="shared" si="131"/>
        <v>-1.5</v>
      </c>
      <c r="IG44" s="181">
        <f t="shared" si="132"/>
        <v>8.2232142857142865</v>
      </c>
      <c r="IH44" s="181">
        <f t="shared" si="133"/>
        <v>12.723214285714285</v>
      </c>
      <c r="II44" s="181">
        <f t="shared" si="134"/>
        <v>0.80796004842615066</v>
      </c>
      <c r="IJ44" s="181">
        <f t="shared" si="135"/>
        <v>26.481075920934412</v>
      </c>
      <c r="IK44" s="181">
        <f t="shared" si="136"/>
        <v>26.481075920934412</v>
      </c>
      <c r="IL44" s="181">
        <f t="shared" si="250"/>
        <v>0</v>
      </c>
      <c r="IM44" s="181">
        <f t="shared" si="137"/>
        <v>0</v>
      </c>
      <c r="IN44" s="157">
        <f t="shared" si="138"/>
        <v>904.59642857142853</v>
      </c>
      <c r="IO44" s="157">
        <f t="shared" si="139"/>
        <v>1593</v>
      </c>
      <c r="IP44" s="157">
        <f t="shared" si="42"/>
        <v>0</v>
      </c>
      <c r="IQ44" s="157">
        <f t="shared" si="43"/>
        <v>688.40357142857147</v>
      </c>
      <c r="IR44" s="157">
        <f t="shared" si="140"/>
        <v>1984.5</v>
      </c>
      <c r="IS44" s="157">
        <f t="shared" si="141"/>
        <v>729.53778919618537</v>
      </c>
      <c r="IT44" s="157">
        <f t="shared" si="142"/>
        <v>2672.9035714285715</v>
      </c>
      <c r="IU44" s="200">
        <f t="shared" si="143"/>
        <v>1</v>
      </c>
      <c r="IV44" s="157">
        <f t="shared" si="144"/>
        <v>729.53778919618537</v>
      </c>
      <c r="IW44" s="157">
        <f t="shared" si="145"/>
        <v>645.54794520547944</v>
      </c>
      <c r="IX44" s="162">
        <f t="shared" si="146"/>
        <v>2588.9137274378659</v>
      </c>
      <c r="IY44" s="157">
        <f t="shared" si="22"/>
        <v>875</v>
      </c>
      <c r="IZ44" s="157">
        <f t="shared" si="147"/>
        <v>525</v>
      </c>
      <c r="JA44" s="207">
        <f t="shared" si="148"/>
        <v>350</v>
      </c>
      <c r="JB44" s="207">
        <f t="shared" si="149"/>
        <v>350</v>
      </c>
      <c r="JC44" s="157">
        <f t="shared" si="150"/>
        <v>350</v>
      </c>
      <c r="JD44" s="157">
        <f t="shared" si="151"/>
        <v>525</v>
      </c>
      <c r="JE44" s="157">
        <f t="shared" si="152"/>
        <v>875</v>
      </c>
      <c r="JF44" s="168">
        <f t="shared" si="153"/>
        <v>82.600000000000122</v>
      </c>
      <c r="JG44" s="168">
        <f t="shared" si="154"/>
        <v>123.9000000000002</v>
      </c>
      <c r="JH44" s="168">
        <f t="shared" si="155"/>
        <v>206.50000000000031</v>
      </c>
      <c r="JI44" s="157">
        <f t="shared" si="156"/>
        <v>1713.9137274378659</v>
      </c>
      <c r="JJ44" s="168">
        <f t="shared" si="157"/>
        <v>0</v>
      </c>
      <c r="JK44" s="168">
        <f t="shared" si="158"/>
        <v>172.17091825030002</v>
      </c>
      <c r="JL44" s="168">
        <f t="shared" si="159"/>
        <v>610.98363967533726</v>
      </c>
      <c r="JM44" s="168">
        <f t="shared" si="160"/>
        <v>404.48363967533697</v>
      </c>
      <c r="JN44" s="168">
        <f t="shared" si="161"/>
        <v>996.63931506849474</v>
      </c>
      <c r="JO44" s="157">
        <f t="shared" si="162"/>
        <v>144.80357142857133</v>
      </c>
      <c r="JP44" s="168">
        <f t="shared" si="163"/>
        <v>123.9000000000002</v>
      </c>
      <c r="JR44" s="168">
        <f t="shared" si="164"/>
        <v>375.9480000000006</v>
      </c>
      <c r="JS44" s="168">
        <f t="shared" si="165"/>
        <v>162.46324285714311</v>
      </c>
      <c r="JT44" s="181"/>
      <c r="JW44" s="168">
        <f t="shared" ref="JW44:JX44" si="295">JW43</f>
        <v>2.5</v>
      </c>
      <c r="JX44" s="161">
        <f t="shared" si="295"/>
        <v>350</v>
      </c>
      <c r="JY44" s="161">
        <f t="shared" si="44"/>
        <v>525</v>
      </c>
      <c r="JZ44" s="161">
        <f t="shared" si="45"/>
        <v>875</v>
      </c>
      <c r="KA44" s="161">
        <v>236.00000000000037</v>
      </c>
      <c r="KB44" s="168">
        <f t="shared" si="166"/>
        <v>2.5</v>
      </c>
      <c r="KC44" s="161">
        <v>350</v>
      </c>
      <c r="KD44" s="161">
        <v>525</v>
      </c>
      <c r="KE44" s="161">
        <v>875</v>
      </c>
      <c r="KF44" s="168">
        <f t="shared" ref="KF44" si="296">KF43</f>
        <v>0.56785714285714284</v>
      </c>
      <c r="KG44" s="154">
        <f t="shared" si="167"/>
        <v>21</v>
      </c>
      <c r="KH44" s="154">
        <f t="shared" si="168"/>
        <v>-1.5</v>
      </c>
      <c r="KI44" s="181">
        <f t="shared" si="169"/>
        <v>8.2232142857142865</v>
      </c>
      <c r="KJ44" s="181">
        <f t="shared" si="170"/>
        <v>12.723214285714285</v>
      </c>
      <c r="KK44" s="181">
        <f t="shared" si="171"/>
        <v>0.80796004842615066</v>
      </c>
      <c r="KL44" s="181">
        <f t="shared" si="172"/>
        <v>12.723214285714285</v>
      </c>
      <c r="KM44" s="181">
        <f t="shared" si="173"/>
        <v>15</v>
      </c>
      <c r="KN44" s="181">
        <f t="shared" si="253"/>
        <v>0</v>
      </c>
      <c r="KO44" s="181">
        <f t="shared" si="174"/>
        <v>0</v>
      </c>
      <c r="KP44" s="157">
        <f t="shared" si="175"/>
        <v>904.59642857142853</v>
      </c>
      <c r="KQ44" s="157">
        <f t="shared" si="46"/>
        <v>1593</v>
      </c>
      <c r="KR44" s="157">
        <f t="shared" si="176"/>
        <v>144.80357142857147</v>
      </c>
      <c r="KS44" s="157">
        <f t="shared" si="177"/>
        <v>543.6</v>
      </c>
      <c r="KT44" s="157">
        <f t="shared" si="178"/>
        <v>1984.5</v>
      </c>
      <c r="KU44" s="157">
        <f t="shared" si="179"/>
        <v>729.53778919618537</v>
      </c>
      <c r="KV44" s="157">
        <f t="shared" si="180"/>
        <v>2528.1</v>
      </c>
      <c r="KW44" s="200">
        <f t="shared" si="181"/>
        <v>1</v>
      </c>
      <c r="KX44" s="157">
        <f t="shared" si="182"/>
        <v>729.53778919618537</v>
      </c>
      <c r="KY44" s="157">
        <f t="shared" si="183"/>
        <v>645.54794520547944</v>
      </c>
      <c r="KZ44" s="162">
        <f t="shared" si="47"/>
        <v>2588.9137274378659</v>
      </c>
      <c r="LA44" s="157">
        <f t="shared" si="184"/>
        <v>875</v>
      </c>
      <c r="LB44" s="157">
        <f t="shared" si="185"/>
        <v>525</v>
      </c>
      <c r="LC44" s="207">
        <f t="shared" si="186"/>
        <v>350</v>
      </c>
      <c r="LD44" s="207">
        <f t="shared" si="187"/>
        <v>350</v>
      </c>
      <c r="LE44" s="157">
        <f t="shared" si="188"/>
        <v>350</v>
      </c>
      <c r="LF44" s="157">
        <f t="shared" si="189"/>
        <v>525</v>
      </c>
      <c r="LG44" s="157">
        <f t="shared" si="190"/>
        <v>875</v>
      </c>
      <c r="LH44" s="168">
        <f t="shared" si="191"/>
        <v>82.600000000000122</v>
      </c>
      <c r="LI44" s="168">
        <f t="shared" si="192"/>
        <v>123.9000000000002</v>
      </c>
      <c r="LJ44" s="168">
        <f t="shared" si="193"/>
        <v>206.50000000000031</v>
      </c>
      <c r="LK44" s="157">
        <f t="shared" si="194"/>
        <v>1713.9137274378659</v>
      </c>
      <c r="LL44" s="168">
        <f t="shared" si="195"/>
        <v>34.173642857142923</v>
      </c>
      <c r="LM44" s="168">
        <f t="shared" si="196"/>
        <v>172.17091825030002</v>
      </c>
      <c r="LN44" s="168">
        <f t="shared" si="197"/>
        <v>610.98363967533726</v>
      </c>
      <c r="LO44" s="168">
        <f t="shared" si="198"/>
        <v>404.48363967533697</v>
      </c>
      <c r="LP44" s="168">
        <f t="shared" si="199"/>
        <v>996.63931506849474</v>
      </c>
      <c r="LQ44" s="157">
        <f t="shared" si="200"/>
        <v>144.80357142857133</v>
      </c>
      <c r="LR44" s="168">
        <f t="shared" si="201"/>
        <v>123.9000000000002</v>
      </c>
      <c r="LT44" s="168">
        <f t="shared" si="202"/>
        <v>375.9480000000006</v>
      </c>
      <c r="LU44" s="168">
        <f t="shared" si="203"/>
        <v>162.46324285714311</v>
      </c>
      <c r="LV44" s="181"/>
      <c r="LY44" s="168">
        <f t="shared" si="291"/>
        <v>2.5</v>
      </c>
      <c r="LZ44" s="161">
        <f t="shared" si="291"/>
        <v>350</v>
      </c>
      <c r="MA44" s="161">
        <f t="shared" si="48"/>
        <v>525</v>
      </c>
      <c r="MB44" s="161">
        <f t="shared" si="49"/>
        <v>875</v>
      </c>
      <c r="MC44" s="161">
        <v>236.00000000000037</v>
      </c>
      <c r="MD44" s="168">
        <f t="shared" si="204"/>
        <v>2.5</v>
      </c>
      <c r="ME44" s="161">
        <v>350</v>
      </c>
      <c r="MF44" s="161">
        <v>525</v>
      </c>
      <c r="MG44" s="161">
        <v>875</v>
      </c>
      <c r="MH44" s="168">
        <f t="shared" si="292"/>
        <v>0.56785714285714284</v>
      </c>
      <c r="MI44" s="154">
        <f t="shared" si="205"/>
        <v>21</v>
      </c>
      <c r="MJ44" s="181">
        <f t="shared" si="206"/>
        <v>13.584745762711865</v>
      </c>
      <c r="MK44" s="181">
        <f t="shared" si="207"/>
        <v>5.0187651331719128</v>
      </c>
      <c r="ML44" s="154">
        <f t="shared" si="208"/>
        <v>-1.5</v>
      </c>
      <c r="MM44" s="181">
        <f t="shared" si="209"/>
        <v>8.0357142857142865</v>
      </c>
      <c r="MN44" s="181">
        <f t="shared" si="210"/>
        <v>8.0357142857142865</v>
      </c>
      <c r="MO44" s="181">
        <f t="shared" si="211"/>
        <v>15</v>
      </c>
      <c r="MP44" s="181">
        <f t="shared" si="212"/>
        <v>0</v>
      </c>
      <c r="MQ44" s="157">
        <f t="shared" si="50"/>
        <v>606.47142857142865</v>
      </c>
      <c r="MR44" s="157">
        <f t="shared" si="213"/>
        <v>1593</v>
      </c>
      <c r="MS44" s="157">
        <f t="shared" si="214"/>
        <v>442.92857142857133</v>
      </c>
      <c r="MT44" s="157">
        <f t="shared" si="215"/>
        <v>543.6</v>
      </c>
      <c r="MU44" s="157">
        <f t="shared" si="216"/>
        <v>1984.5</v>
      </c>
      <c r="MV44" s="157">
        <f t="shared" si="217"/>
        <v>729.53778919618537</v>
      </c>
      <c r="MW44" s="157">
        <f t="shared" si="218"/>
        <v>2528.1</v>
      </c>
      <c r="MX44" s="200">
        <f t="shared" si="219"/>
        <v>1</v>
      </c>
      <c r="MY44" s="157">
        <f t="shared" si="220"/>
        <v>729.53778919618537</v>
      </c>
      <c r="MZ44" s="157">
        <f t="shared" si="221"/>
        <v>645.54794520547944</v>
      </c>
      <c r="NA44" s="162">
        <f t="shared" si="222"/>
        <v>2887.0387274378659</v>
      </c>
      <c r="NB44" s="157">
        <f t="shared" si="223"/>
        <v>875</v>
      </c>
      <c r="NC44" s="157">
        <f t="shared" si="224"/>
        <v>525</v>
      </c>
      <c r="ND44" s="207">
        <f t="shared" si="51"/>
        <v>350</v>
      </c>
      <c r="NE44" s="207">
        <f t="shared" si="225"/>
        <v>350</v>
      </c>
      <c r="NF44" s="157">
        <f t="shared" si="226"/>
        <v>350</v>
      </c>
      <c r="NG44" s="157">
        <f t="shared" si="52"/>
        <v>525</v>
      </c>
      <c r="NH44" s="157">
        <f t="shared" si="53"/>
        <v>875</v>
      </c>
      <c r="NI44" s="168">
        <f t="shared" si="227"/>
        <v>82.600000000000122</v>
      </c>
      <c r="NJ44" s="168">
        <f t="shared" si="228"/>
        <v>123.9000000000002</v>
      </c>
      <c r="NK44" s="168">
        <f t="shared" si="229"/>
        <v>206.50000000000031</v>
      </c>
      <c r="NL44" s="157">
        <f t="shared" si="230"/>
        <v>2012.0387274378659</v>
      </c>
      <c r="NM44" s="168">
        <f t="shared" si="231"/>
        <v>104.531142857143</v>
      </c>
      <c r="NN44" s="168">
        <f t="shared" si="232"/>
        <v>172.17091825030002</v>
      </c>
      <c r="NO44" s="168">
        <f t="shared" si="233"/>
        <v>681.34113967533744</v>
      </c>
      <c r="NP44" s="168">
        <f t="shared" si="234"/>
        <v>474.8411396753371</v>
      </c>
      <c r="NQ44" s="168">
        <f t="shared" si="235"/>
        <v>996.63931506849474</v>
      </c>
      <c r="NR44" s="157">
        <f t="shared" si="236"/>
        <v>442.92857142857122</v>
      </c>
      <c r="NS44" s="168">
        <f t="shared" si="237"/>
        <v>123.9000000000002</v>
      </c>
      <c r="NT44" s="157">
        <f t="shared" si="238"/>
        <v>4223.0479452054797</v>
      </c>
      <c r="NU44" s="168">
        <f t="shared" si="239"/>
        <v>375.9480000000006</v>
      </c>
      <c r="NV44" s="168">
        <f t="shared" si="240"/>
        <v>232.82074285714319</v>
      </c>
      <c r="NW44" s="181"/>
      <c r="NX44" s="157"/>
      <c r="NY44" s="157"/>
      <c r="NZ44" s="157"/>
      <c r="OA44" s="157"/>
      <c r="OB44" s="157"/>
    </row>
    <row r="45" spans="1:392" ht="13" x14ac:dyDescent="0.3">
      <c r="A45" s="154">
        <v>25.034246575342468</v>
      </c>
      <c r="B45" s="154">
        <v>-0.5</v>
      </c>
      <c r="C45" s="154">
        <f t="shared" si="241"/>
        <v>-0.5</v>
      </c>
      <c r="D45" s="154">
        <v>9875.6</v>
      </c>
      <c r="E45" s="200">
        <f t="shared" si="242"/>
        <v>31.450955414012739</v>
      </c>
      <c r="F45" s="181">
        <f t="shared" si="54"/>
        <v>1896.3</v>
      </c>
      <c r="G45" s="161">
        <f t="shared" si="258"/>
        <v>314</v>
      </c>
      <c r="H45" s="154">
        <f t="shared" si="55"/>
        <v>1.8962999999999999</v>
      </c>
      <c r="I45" s="161">
        <f t="shared" si="56"/>
        <v>6751</v>
      </c>
      <c r="J45" s="181">
        <f t="shared" si="57"/>
        <v>21</v>
      </c>
      <c r="K45" s="181">
        <f t="shared" si="58"/>
        <v>13.584745762711865</v>
      </c>
      <c r="L45" s="181">
        <f t="shared" si="59"/>
        <v>5.5866222760290558</v>
      </c>
      <c r="M45" s="181">
        <f t="shared" si="60"/>
        <v>-0.5</v>
      </c>
      <c r="N45" s="181">
        <f t="shared" si="61"/>
        <v>8.4035714285714285</v>
      </c>
      <c r="O45" s="181">
        <f t="shared" si="62"/>
        <v>8.4035714285714285</v>
      </c>
      <c r="P45" s="181">
        <f t="shared" si="63"/>
        <v>15</v>
      </c>
      <c r="Q45" s="181">
        <f t="shared" si="64"/>
        <v>13.906716082659479</v>
      </c>
      <c r="R45" s="168">
        <f t="shared" si="65"/>
        <v>274.75</v>
      </c>
      <c r="S45" s="161">
        <f t="shared" si="66"/>
        <v>1044.4938330520918</v>
      </c>
      <c r="T45" s="161">
        <f t="shared" si="67"/>
        <v>63.400124924614467</v>
      </c>
      <c r="U45" s="161">
        <f t="shared" si="68"/>
        <v>51.802098758767578</v>
      </c>
      <c r="V45" s="154">
        <f t="shared" si="69"/>
        <v>0.4195328571428571</v>
      </c>
      <c r="W45" s="154">
        <f t="shared" si="70"/>
        <v>1.8851463382004745</v>
      </c>
      <c r="X45" s="154">
        <f t="shared" si="71"/>
        <v>3.3264134810576174</v>
      </c>
      <c r="Y45" s="154">
        <f t="shared" si="72"/>
        <v>4.0640479452054796</v>
      </c>
      <c r="Z45" s="154">
        <f t="shared" si="73"/>
        <v>1.5222</v>
      </c>
      <c r="AA45" s="154">
        <f t="shared" si="74"/>
        <v>0.73763446414786227</v>
      </c>
      <c r="AB45" s="154">
        <f t="shared" si="26"/>
        <v>2.7601463382004745</v>
      </c>
      <c r="AC45" s="154">
        <f t="shared" si="27"/>
        <v>0.64554794520547942</v>
      </c>
      <c r="AD45" s="154">
        <f t="shared" si="28"/>
        <v>0.35</v>
      </c>
      <c r="AE45" s="154">
        <f t="shared" si="29"/>
        <v>0.52500000000000002</v>
      </c>
      <c r="AF45" s="154">
        <f t="shared" si="30"/>
        <v>0.875</v>
      </c>
      <c r="AG45" s="154">
        <f t="shared" si="75"/>
        <v>0.56626714285714286</v>
      </c>
      <c r="AH45" s="154">
        <f t="shared" si="76"/>
        <v>1.4412671428571429</v>
      </c>
      <c r="AI45" s="154">
        <f t="shared" si="77"/>
        <v>0.58732876712328763</v>
      </c>
      <c r="AJ45" s="154">
        <f t="shared" si="78"/>
        <v>5.8219178082191785E-2</v>
      </c>
      <c r="AK45" s="154">
        <f t="shared" si="79"/>
        <v>0</v>
      </c>
      <c r="AL45" s="161">
        <f t="shared" si="80"/>
        <v>587.32876712328766</v>
      </c>
      <c r="AM45" s="161">
        <f t="shared" si="81"/>
        <v>58.219178082191782</v>
      </c>
      <c r="AN45" s="161">
        <f t="shared" si="82"/>
        <v>0</v>
      </c>
      <c r="AO45" s="161"/>
      <c r="AP45" s="154">
        <f t="shared" si="83"/>
        <v>0.64554794520547942</v>
      </c>
      <c r="AQ45" s="154">
        <f t="shared" si="84"/>
        <v>0.64554794520547942</v>
      </c>
      <c r="AR45" s="154">
        <f t="shared" si="85"/>
        <v>1.8608</v>
      </c>
      <c r="AS45" s="161"/>
      <c r="AT45" s="161"/>
      <c r="AU45" s="161"/>
      <c r="AV45" s="161"/>
      <c r="AW45" s="181"/>
      <c r="AX45" s="181"/>
      <c r="AY45" s="181"/>
      <c r="AZ45" s="181"/>
      <c r="BA45" s="181"/>
      <c r="BB45" s="161"/>
      <c r="BC45" s="161"/>
      <c r="BD45" s="161"/>
      <c r="BE45" s="181"/>
      <c r="BF45" s="168"/>
      <c r="BG45" s="181"/>
      <c r="BH45" s="168"/>
      <c r="BI45" s="168"/>
      <c r="BJ45" s="161"/>
      <c r="BK45" s="168"/>
      <c r="BL45" s="168"/>
      <c r="BM45" s="168"/>
      <c r="BN45" s="168"/>
      <c r="BO45" s="168">
        <f t="shared" si="86"/>
        <v>184.42123287671231</v>
      </c>
      <c r="BP45" s="168">
        <f t="shared" si="87"/>
        <v>18.280821917808222</v>
      </c>
      <c r="BQ45" s="168">
        <f t="shared" si="88"/>
        <v>0</v>
      </c>
      <c r="BR45" s="181"/>
      <c r="BS45" s="161"/>
      <c r="BT45" s="168"/>
      <c r="BU45" s="161"/>
      <c r="BV45" s="161"/>
      <c r="BW45" s="161"/>
      <c r="BX45" s="161"/>
      <c r="CB45" s="181">
        <f t="shared" si="89"/>
        <v>28.840573267506375</v>
      </c>
      <c r="CC45" s="181">
        <f t="shared" si="89"/>
        <v>0</v>
      </c>
      <c r="CD45" s="181">
        <f t="shared" si="89"/>
        <v>33.709223603166564</v>
      </c>
      <c r="CE45" s="181">
        <f t="shared" si="89"/>
        <v>0</v>
      </c>
      <c r="CF45" s="181">
        <f t="shared" si="89"/>
        <v>112.13137932944355</v>
      </c>
      <c r="CG45" s="181">
        <f t="shared" si="89"/>
        <v>0</v>
      </c>
      <c r="CH45" s="181">
        <f t="shared" si="89"/>
        <v>33.753287947745868</v>
      </c>
      <c r="CI45" s="181">
        <f t="shared" si="89"/>
        <v>0</v>
      </c>
      <c r="CJ45" s="182">
        <f t="shared" si="90"/>
        <v>208.43446414786234</v>
      </c>
      <c r="CK45" s="161">
        <f t="shared" si="91"/>
        <v>208.43446414786231</v>
      </c>
      <c r="CL45" s="161">
        <f t="shared" si="243"/>
        <v>529.19999999999993</v>
      </c>
      <c r="CM45" s="182">
        <f t="shared" si="92"/>
        <v>737.63446414786222</v>
      </c>
      <c r="CN45" s="157">
        <f t="shared" si="93"/>
        <v>65.448421742428778</v>
      </c>
      <c r="CO45" s="162">
        <f t="shared" si="94"/>
        <v>737.63446414786222</v>
      </c>
      <c r="FT45" s="168">
        <f t="shared" si="244"/>
        <v>2.5</v>
      </c>
      <c r="FU45" s="161">
        <f t="shared" si="245"/>
        <v>350</v>
      </c>
      <c r="FV45" s="161">
        <f t="shared" si="33"/>
        <v>525</v>
      </c>
      <c r="FW45" s="161">
        <f t="shared" si="95"/>
        <v>875</v>
      </c>
      <c r="FX45" s="161">
        <v>314</v>
      </c>
      <c r="FY45" s="168">
        <f t="shared" si="96"/>
        <v>2.5</v>
      </c>
      <c r="FZ45" s="161">
        <v>350</v>
      </c>
      <c r="GA45" s="161">
        <v>525</v>
      </c>
      <c r="GB45" s="161">
        <v>875</v>
      </c>
      <c r="GC45" s="168">
        <f t="shared" si="246"/>
        <v>0.56785714285714284</v>
      </c>
      <c r="GD45" s="154">
        <f t="shared" si="97"/>
        <v>21</v>
      </c>
      <c r="GE45" s="181">
        <f t="shared" si="98"/>
        <v>13.584745762711865</v>
      </c>
      <c r="GF45" s="181">
        <f t="shared" si="34"/>
        <v>5.5866222760290558</v>
      </c>
      <c r="GG45" s="154">
        <f t="shared" si="99"/>
        <v>-0.5</v>
      </c>
      <c r="GH45" s="181">
        <f t="shared" si="100"/>
        <v>8.4035714285714285</v>
      </c>
      <c r="GI45" s="181">
        <f t="shared" si="101"/>
        <v>22.161433063791556</v>
      </c>
      <c r="GJ45" s="181">
        <f t="shared" si="102"/>
        <v>22.161433063791556</v>
      </c>
      <c r="GK45" s="181">
        <f t="shared" si="103"/>
        <v>0</v>
      </c>
      <c r="GL45" s="157">
        <f t="shared" si="104"/>
        <v>566.26714285714286</v>
      </c>
      <c r="GM45" s="157">
        <f t="shared" si="105"/>
        <v>1522.2</v>
      </c>
      <c r="GN45" s="157">
        <f t="shared" si="106"/>
        <v>0</v>
      </c>
      <c r="GO45" s="157">
        <f t="shared" si="107"/>
        <v>955.93285714285719</v>
      </c>
      <c r="GP45" s="157">
        <f t="shared" si="108"/>
        <v>1896.3</v>
      </c>
      <c r="GQ45" s="157">
        <f t="shared" si="109"/>
        <v>737.63446414786222</v>
      </c>
      <c r="GR45" s="157">
        <f t="shared" si="110"/>
        <v>2852.232857142857</v>
      </c>
      <c r="GS45" s="200">
        <f t="shared" si="111"/>
        <v>1</v>
      </c>
      <c r="GT45" s="157">
        <f t="shared" si="112"/>
        <v>737.63446414786222</v>
      </c>
      <c r="GU45" s="157">
        <f t="shared" si="113"/>
        <v>645.54794520547944</v>
      </c>
      <c r="GV45" s="162">
        <f t="shared" si="114"/>
        <v>2760.1463382004745</v>
      </c>
      <c r="GW45" s="157">
        <f t="shared" si="115"/>
        <v>875</v>
      </c>
      <c r="GX45" s="157">
        <f t="shared" si="247"/>
        <v>525</v>
      </c>
      <c r="GY45" s="207">
        <f t="shared" si="35"/>
        <v>350</v>
      </c>
      <c r="GZ45" s="207">
        <f t="shared" si="116"/>
        <v>350</v>
      </c>
      <c r="HA45" s="157">
        <f t="shared" si="117"/>
        <v>350</v>
      </c>
      <c r="HB45" s="157">
        <f t="shared" si="36"/>
        <v>525</v>
      </c>
      <c r="HC45" s="157">
        <f t="shared" si="37"/>
        <v>875</v>
      </c>
      <c r="HD45" s="168">
        <f t="shared" si="38"/>
        <v>109.89999999999999</v>
      </c>
      <c r="HE45" s="168">
        <f t="shared" si="118"/>
        <v>164.85</v>
      </c>
      <c r="HF45" s="168">
        <f t="shared" si="39"/>
        <v>274.75</v>
      </c>
      <c r="HG45" s="157">
        <f t="shared" si="119"/>
        <v>1885.1463382004745</v>
      </c>
      <c r="HH45" s="168">
        <f t="shared" si="120"/>
        <v>0</v>
      </c>
      <c r="HI45" s="168">
        <f t="shared" si="121"/>
        <v>231.61722174242874</v>
      </c>
      <c r="HJ45" s="168">
        <f t="shared" si="122"/>
        <v>866.68595019494899</v>
      </c>
      <c r="HK45" s="168">
        <f t="shared" si="123"/>
        <v>591.93595019494899</v>
      </c>
      <c r="HL45" s="168">
        <f t="shared" si="124"/>
        <v>1276.1110547945207</v>
      </c>
      <c r="HM45" s="157">
        <f t="shared" si="125"/>
        <v>874.99999999999989</v>
      </c>
      <c r="HN45" s="168">
        <f t="shared" si="126"/>
        <v>164.85</v>
      </c>
      <c r="HP45" s="168">
        <f t="shared" si="127"/>
        <v>477.9708</v>
      </c>
      <c r="HQ45" s="168">
        <f t="shared" si="128"/>
        <v>300.16291714285717</v>
      </c>
      <c r="HR45" s="181"/>
      <c r="HU45" s="168">
        <f t="shared" si="287"/>
        <v>2.5</v>
      </c>
      <c r="HV45" s="161">
        <f t="shared" si="287"/>
        <v>350</v>
      </c>
      <c r="HW45" s="161">
        <f t="shared" si="40"/>
        <v>525</v>
      </c>
      <c r="HX45" s="161">
        <f t="shared" si="41"/>
        <v>875</v>
      </c>
      <c r="HY45" s="161">
        <v>314</v>
      </c>
      <c r="HZ45" s="168">
        <f t="shared" si="129"/>
        <v>2.5</v>
      </c>
      <c r="IA45" s="161">
        <v>350</v>
      </c>
      <c r="IB45" s="161">
        <v>525</v>
      </c>
      <c r="IC45" s="161">
        <v>875</v>
      </c>
      <c r="ID45" s="168">
        <f t="shared" si="288"/>
        <v>0.56785714285714284</v>
      </c>
      <c r="IE45" s="154">
        <f t="shared" si="130"/>
        <v>21</v>
      </c>
      <c r="IF45" s="154">
        <f t="shared" si="131"/>
        <v>-0.5</v>
      </c>
      <c r="IG45" s="181">
        <f t="shared" si="132"/>
        <v>8.7910714285714295</v>
      </c>
      <c r="IH45" s="181">
        <f t="shared" si="133"/>
        <v>13.091071428571427</v>
      </c>
      <c r="II45" s="181">
        <f t="shared" si="134"/>
        <v>1.3758171912832937</v>
      </c>
      <c r="IJ45" s="181">
        <f t="shared" si="135"/>
        <v>26.848933063791556</v>
      </c>
      <c r="IK45" s="181">
        <f t="shared" si="136"/>
        <v>26.848933063791556</v>
      </c>
      <c r="IL45" s="181">
        <f t="shared" si="250"/>
        <v>0</v>
      </c>
      <c r="IM45" s="181">
        <f t="shared" si="137"/>
        <v>0</v>
      </c>
      <c r="IN45" s="157">
        <f t="shared" si="138"/>
        <v>864.39214285714274</v>
      </c>
      <c r="IO45" s="157">
        <f t="shared" si="139"/>
        <v>1522.2</v>
      </c>
      <c r="IP45" s="157">
        <f t="shared" si="42"/>
        <v>0</v>
      </c>
      <c r="IQ45" s="157">
        <f t="shared" si="43"/>
        <v>657.8078571428573</v>
      </c>
      <c r="IR45" s="157">
        <f t="shared" si="140"/>
        <v>1896.3</v>
      </c>
      <c r="IS45" s="157">
        <f t="shared" si="141"/>
        <v>737.63446414786222</v>
      </c>
      <c r="IT45" s="157">
        <f t="shared" si="142"/>
        <v>2554.107857142857</v>
      </c>
      <c r="IU45" s="200">
        <f t="shared" si="143"/>
        <v>1</v>
      </c>
      <c r="IV45" s="157">
        <f t="shared" si="144"/>
        <v>737.63446414786222</v>
      </c>
      <c r="IW45" s="157">
        <f t="shared" si="145"/>
        <v>645.54794520547944</v>
      </c>
      <c r="IX45" s="162">
        <f t="shared" si="146"/>
        <v>2462.0213382004749</v>
      </c>
      <c r="IY45" s="157">
        <f t="shared" si="22"/>
        <v>875</v>
      </c>
      <c r="IZ45" s="157">
        <f t="shared" si="147"/>
        <v>525</v>
      </c>
      <c r="JA45" s="207">
        <f t="shared" si="148"/>
        <v>350</v>
      </c>
      <c r="JB45" s="207">
        <f t="shared" si="149"/>
        <v>350</v>
      </c>
      <c r="JC45" s="157">
        <f t="shared" si="150"/>
        <v>350</v>
      </c>
      <c r="JD45" s="157">
        <f t="shared" si="151"/>
        <v>525</v>
      </c>
      <c r="JE45" s="157">
        <f t="shared" si="152"/>
        <v>875</v>
      </c>
      <c r="JF45" s="168">
        <f t="shared" si="153"/>
        <v>109.89999999999999</v>
      </c>
      <c r="JG45" s="168">
        <f t="shared" si="154"/>
        <v>164.85</v>
      </c>
      <c r="JH45" s="168">
        <f t="shared" si="155"/>
        <v>274.75</v>
      </c>
      <c r="JI45" s="157">
        <f t="shared" si="156"/>
        <v>1587.0213382004749</v>
      </c>
      <c r="JJ45" s="168">
        <f t="shared" si="157"/>
        <v>0</v>
      </c>
      <c r="JK45" s="168">
        <f t="shared" si="158"/>
        <v>231.61722174242874</v>
      </c>
      <c r="JL45" s="168">
        <f t="shared" si="159"/>
        <v>773.07470019494906</v>
      </c>
      <c r="JM45" s="168">
        <f t="shared" si="160"/>
        <v>498.32470019494912</v>
      </c>
      <c r="JN45" s="168">
        <f t="shared" si="161"/>
        <v>1276.1110547945207</v>
      </c>
      <c r="JO45" s="157">
        <f t="shared" si="162"/>
        <v>121.40785714285721</v>
      </c>
      <c r="JP45" s="168">
        <f t="shared" si="163"/>
        <v>164.85</v>
      </c>
      <c r="JR45" s="168">
        <f t="shared" si="164"/>
        <v>477.9708</v>
      </c>
      <c r="JS45" s="168">
        <f t="shared" si="165"/>
        <v>206.55166714285718</v>
      </c>
      <c r="JT45" s="181"/>
      <c r="JW45" s="168">
        <f t="shared" ref="JW45:JX45" si="297">JW44</f>
        <v>2.5</v>
      </c>
      <c r="JX45" s="161">
        <f t="shared" si="297"/>
        <v>350</v>
      </c>
      <c r="JY45" s="161">
        <f t="shared" si="44"/>
        <v>525</v>
      </c>
      <c r="JZ45" s="161">
        <f t="shared" si="45"/>
        <v>875</v>
      </c>
      <c r="KA45" s="161">
        <v>314</v>
      </c>
      <c r="KB45" s="168">
        <f t="shared" si="166"/>
        <v>2.5</v>
      </c>
      <c r="KC45" s="161">
        <v>350</v>
      </c>
      <c r="KD45" s="161">
        <v>525</v>
      </c>
      <c r="KE45" s="161">
        <v>875</v>
      </c>
      <c r="KF45" s="168">
        <f t="shared" ref="KF45" si="298">KF44</f>
        <v>0.56785714285714284</v>
      </c>
      <c r="KG45" s="154">
        <f t="shared" si="167"/>
        <v>21</v>
      </c>
      <c r="KH45" s="154">
        <f t="shared" si="168"/>
        <v>-0.5</v>
      </c>
      <c r="KI45" s="181">
        <f t="shared" si="169"/>
        <v>8.7910714285714295</v>
      </c>
      <c r="KJ45" s="181">
        <f t="shared" si="170"/>
        <v>13.091071428571427</v>
      </c>
      <c r="KK45" s="181">
        <f t="shared" si="171"/>
        <v>1.3758171912832937</v>
      </c>
      <c r="KL45" s="181">
        <f t="shared" si="172"/>
        <v>13.091071428571427</v>
      </c>
      <c r="KM45" s="181">
        <f t="shared" si="173"/>
        <v>15</v>
      </c>
      <c r="KN45" s="181">
        <f t="shared" si="253"/>
        <v>0</v>
      </c>
      <c r="KO45" s="181">
        <f t="shared" si="174"/>
        <v>0</v>
      </c>
      <c r="KP45" s="157">
        <f t="shared" si="175"/>
        <v>864.39214285714274</v>
      </c>
      <c r="KQ45" s="157">
        <f t="shared" si="46"/>
        <v>1522.2</v>
      </c>
      <c r="KR45" s="157">
        <f t="shared" si="176"/>
        <v>121.40785714285725</v>
      </c>
      <c r="KS45" s="157">
        <f t="shared" si="177"/>
        <v>536.40000000000009</v>
      </c>
      <c r="KT45" s="157">
        <f t="shared" si="178"/>
        <v>1896.3</v>
      </c>
      <c r="KU45" s="157">
        <f t="shared" si="179"/>
        <v>737.63446414786222</v>
      </c>
      <c r="KV45" s="157">
        <f t="shared" si="180"/>
        <v>2432.6999999999998</v>
      </c>
      <c r="KW45" s="200">
        <f t="shared" si="181"/>
        <v>1</v>
      </c>
      <c r="KX45" s="157">
        <f t="shared" si="182"/>
        <v>737.63446414786222</v>
      </c>
      <c r="KY45" s="157">
        <f t="shared" si="183"/>
        <v>645.54794520547944</v>
      </c>
      <c r="KZ45" s="162">
        <f t="shared" si="47"/>
        <v>2462.0213382004749</v>
      </c>
      <c r="LA45" s="157">
        <f t="shared" si="184"/>
        <v>875</v>
      </c>
      <c r="LB45" s="157">
        <f t="shared" si="185"/>
        <v>525</v>
      </c>
      <c r="LC45" s="207">
        <f t="shared" si="186"/>
        <v>350</v>
      </c>
      <c r="LD45" s="207">
        <f t="shared" si="187"/>
        <v>350</v>
      </c>
      <c r="LE45" s="157">
        <f t="shared" si="188"/>
        <v>350</v>
      </c>
      <c r="LF45" s="157">
        <f t="shared" si="189"/>
        <v>525</v>
      </c>
      <c r="LG45" s="157">
        <f t="shared" si="190"/>
        <v>875</v>
      </c>
      <c r="LH45" s="168">
        <f t="shared" si="191"/>
        <v>109.89999999999999</v>
      </c>
      <c r="LI45" s="168">
        <f t="shared" si="192"/>
        <v>164.85</v>
      </c>
      <c r="LJ45" s="168">
        <f t="shared" si="193"/>
        <v>274.75</v>
      </c>
      <c r="LK45" s="157">
        <f t="shared" si="194"/>
        <v>1587.0213382004749</v>
      </c>
      <c r="LL45" s="168">
        <f t="shared" si="195"/>
        <v>38.122067142857176</v>
      </c>
      <c r="LM45" s="168">
        <f t="shared" si="196"/>
        <v>231.61722174242874</v>
      </c>
      <c r="LN45" s="168">
        <f t="shared" si="197"/>
        <v>773.07470019494906</v>
      </c>
      <c r="LO45" s="168">
        <f t="shared" si="198"/>
        <v>498.32470019494912</v>
      </c>
      <c r="LP45" s="168">
        <f t="shared" si="199"/>
        <v>1276.1110547945207</v>
      </c>
      <c r="LQ45" s="157">
        <f t="shared" si="200"/>
        <v>121.40785714285721</v>
      </c>
      <c r="LR45" s="168">
        <f t="shared" si="201"/>
        <v>164.85</v>
      </c>
      <c r="LT45" s="168">
        <f t="shared" si="202"/>
        <v>477.9708</v>
      </c>
      <c r="LU45" s="168">
        <f t="shared" si="203"/>
        <v>206.55166714285718</v>
      </c>
      <c r="LV45" s="181"/>
      <c r="LY45" s="168">
        <f t="shared" si="291"/>
        <v>2.5</v>
      </c>
      <c r="LZ45" s="161">
        <f t="shared" si="291"/>
        <v>350</v>
      </c>
      <c r="MA45" s="161">
        <f t="shared" si="48"/>
        <v>525</v>
      </c>
      <c r="MB45" s="161">
        <f t="shared" si="49"/>
        <v>875</v>
      </c>
      <c r="MC45" s="161">
        <v>314</v>
      </c>
      <c r="MD45" s="168">
        <f t="shared" si="204"/>
        <v>2.5</v>
      </c>
      <c r="ME45" s="161">
        <v>350</v>
      </c>
      <c r="MF45" s="161">
        <v>525</v>
      </c>
      <c r="MG45" s="161">
        <v>875</v>
      </c>
      <c r="MH45" s="168">
        <f t="shared" si="292"/>
        <v>0.56785714285714284</v>
      </c>
      <c r="MI45" s="154">
        <f t="shared" si="205"/>
        <v>21</v>
      </c>
      <c r="MJ45" s="181">
        <f t="shared" si="206"/>
        <v>13.584745762711865</v>
      </c>
      <c r="MK45" s="181">
        <f t="shared" si="207"/>
        <v>5.5866222760290558</v>
      </c>
      <c r="ML45" s="154">
        <f t="shared" si="208"/>
        <v>-0.5</v>
      </c>
      <c r="MM45" s="181">
        <f t="shared" si="209"/>
        <v>8.4035714285714285</v>
      </c>
      <c r="MN45" s="181">
        <f t="shared" si="210"/>
        <v>8.4035714285714285</v>
      </c>
      <c r="MO45" s="181">
        <f t="shared" si="211"/>
        <v>15</v>
      </c>
      <c r="MP45" s="181">
        <f t="shared" si="212"/>
        <v>0</v>
      </c>
      <c r="MQ45" s="157">
        <f t="shared" si="50"/>
        <v>566.26714285714286</v>
      </c>
      <c r="MR45" s="157">
        <f t="shared" si="213"/>
        <v>1522.2</v>
      </c>
      <c r="MS45" s="157">
        <f t="shared" si="214"/>
        <v>419.5328571428571</v>
      </c>
      <c r="MT45" s="157">
        <f t="shared" si="215"/>
        <v>536.40000000000009</v>
      </c>
      <c r="MU45" s="157">
        <f t="shared" si="216"/>
        <v>1896.3</v>
      </c>
      <c r="MV45" s="157">
        <f t="shared" si="217"/>
        <v>737.63446414786222</v>
      </c>
      <c r="MW45" s="157">
        <f t="shared" si="218"/>
        <v>2432.6999999999998</v>
      </c>
      <c r="MX45" s="200">
        <f t="shared" si="219"/>
        <v>1</v>
      </c>
      <c r="MY45" s="157">
        <f t="shared" si="220"/>
        <v>737.63446414786222</v>
      </c>
      <c r="MZ45" s="157">
        <f t="shared" si="221"/>
        <v>645.54794520547944</v>
      </c>
      <c r="NA45" s="162">
        <f t="shared" si="222"/>
        <v>2760.1463382004745</v>
      </c>
      <c r="NB45" s="157">
        <f t="shared" si="223"/>
        <v>875</v>
      </c>
      <c r="NC45" s="157">
        <f t="shared" si="224"/>
        <v>525</v>
      </c>
      <c r="ND45" s="207">
        <f t="shared" si="51"/>
        <v>350</v>
      </c>
      <c r="NE45" s="207">
        <f t="shared" si="225"/>
        <v>350</v>
      </c>
      <c r="NF45" s="157">
        <f t="shared" si="226"/>
        <v>350</v>
      </c>
      <c r="NG45" s="157">
        <f t="shared" si="52"/>
        <v>525</v>
      </c>
      <c r="NH45" s="157">
        <f t="shared" si="53"/>
        <v>875</v>
      </c>
      <c r="NI45" s="168">
        <f t="shared" si="227"/>
        <v>109.89999999999999</v>
      </c>
      <c r="NJ45" s="168">
        <f t="shared" si="228"/>
        <v>164.85</v>
      </c>
      <c r="NK45" s="168">
        <f t="shared" si="229"/>
        <v>274.75</v>
      </c>
      <c r="NL45" s="157">
        <f t="shared" si="230"/>
        <v>1885.1463382004745</v>
      </c>
      <c r="NM45" s="168">
        <f t="shared" si="231"/>
        <v>131.73331714285712</v>
      </c>
      <c r="NN45" s="168">
        <f t="shared" si="232"/>
        <v>231.61722174242874</v>
      </c>
      <c r="NO45" s="168">
        <f t="shared" si="233"/>
        <v>866.68595019494899</v>
      </c>
      <c r="NP45" s="168">
        <f t="shared" si="234"/>
        <v>591.93595019494899</v>
      </c>
      <c r="NQ45" s="168">
        <f t="shared" si="235"/>
        <v>1276.1110547945207</v>
      </c>
      <c r="NR45" s="157">
        <f t="shared" si="236"/>
        <v>419.5328571428571</v>
      </c>
      <c r="NS45" s="168">
        <f t="shared" si="237"/>
        <v>164.85</v>
      </c>
      <c r="NT45" s="157">
        <f t="shared" si="238"/>
        <v>4064.0479452054797</v>
      </c>
      <c r="NU45" s="168">
        <f t="shared" si="239"/>
        <v>477.9708</v>
      </c>
      <c r="NV45" s="168">
        <f t="shared" si="240"/>
        <v>300.16291714285717</v>
      </c>
      <c r="NW45" s="181"/>
      <c r="NX45" s="157"/>
      <c r="NY45" s="157"/>
      <c r="NZ45" s="157"/>
      <c r="OA45" s="157"/>
      <c r="OB45" s="157"/>
    </row>
    <row r="46" spans="1:392" ht="13" x14ac:dyDescent="0.3">
      <c r="A46" s="154">
        <v>31.244292237442924</v>
      </c>
      <c r="B46" s="154">
        <v>0.5</v>
      </c>
      <c r="C46" s="154">
        <f t="shared" si="241"/>
        <v>0.5</v>
      </c>
      <c r="D46" s="154">
        <v>15520.899999999989</v>
      </c>
      <c r="E46" s="200">
        <f t="shared" si="242"/>
        <v>28.531066176470574</v>
      </c>
      <c r="F46" s="181">
        <f t="shared" si="54"/>
        <v>1808.1000000000001</v>
      </c>
      <c r="G46" s="161">
        <f t="shared" si="258"/>
        <v>543.99999999999989</v>
      </c>
      <c r="H46" s="154">
        <f t="shared" si="55"/>
        <v>1.8081</v>
      </c>
      <c r="I46" s="161">
        <f t="shared" si="56"/>
        <v>11151.999999999998</v>
      </c>
      <c r="J46" s="181">
        <f t="shared" si="57"/>
        <v>21</v>
      </c>
      <c r="K46" s="181">
        <f t="shared" si="58"/>
        <v>13.584745762711865</v>
      </c>
      <c r="L46" s="181">
        <f t="shared" si="59"/>
        <v>6.1544794188861989</v>
      </c>
      <c r="M46" s="181">
        <f t="shared" si="60"/>
        <v>0.5</v>
      </c>
      <c r="N46" s="181">
        <f t="shared" si="61"/>
        <v>8.7714285714285722</v>
      </c>
      <c r="O46" s="181">
        <f t="shared" si="62"/>
        <v>8.7714285714285722</v>
      </c>
      <c r="P46" s="181">
        <f t="shared" si="63"/>
        <v>15</v>
      </c>
      <c r="Q46" s="181">
        <f t="shared" si="64"/>
        <v>14.274573225516622</v>
      </c>
      <c r="R46" s="168">
        <f t="shared" si="65"/>
        <v>475.99999999999989</v>
      </c>
      <c r="S46" s="161">
        <f t="shared" si="66"/>
        <v>1733.5998450110458</v>
      </c>
      <c r="T46" s="161">
        <f t="shared" si="67"/>
        <v>61.90012492461446</v>
      </c>
      <c r="U46" s="161">
        <f t="shared" si="68"/>
        <v>50.606358820380315</v>
      </c>
      <c r="V46" s="154">
        <f t="shared" si="69"/>
        <v>0.39613714285714274</v>
      </c>
      <c r="W46" s="154">
        <f t="shared" si="70"/>
        <v>1.7857015638333307</v>
      </c>
      <c r="X46" s="154">
        <f t="shared" si="71"/>
        <v>3.1867644209761878</v>
      </c>
      <c r="Y46" s="154">
        <f t="shared" si="72"/>
        <v>3.9050479452054794</v>
      </c>
      <c r="Z46" s="154">
        <f t="shared" si="73"/>
        <v>1.4513999999999998</v>
      </c>
      <c r="AA46" s="154">
        <f t="shared" si="74"/>
        <v>0.71828352422929143</v>
      </c>
      <c r="AB46" s="154">
        <f t="shared" si="26"/>
        <v>2.6607015638333316</v>
      </c>
      <c r="AC46" s="154">
        <f t="shared" si="27"/>
        <v>0.64554794520547942</v>
      </c>
      <c r="AD46" s="154">
        <f t="shared" si="28"/>
        <v>0.35</v>
      </c>
      <c r="AE46" s="154">
        <f t="shared" si="29"/>
        <v>0.52500000000000002</v>
      </c>
      <c r="AF46" s="154">
        <f t="shared" si="30"/>
        <v>0.875</v>
      </c>
      <c r="AG46" s="154">
        <f t="shared" si="75"/>
        <v>0.52606285714285717</v>
      </c>
      <c r="AH46" s="154">
        <f t="shared" si="76"/>
        <v>1.4010628571428572</v>
      </c>
      <c r="AI46" s="154">
        <f t="shared" si="77"/>
        <v>0.58732876712328763</v>
      </c>
      <c r="AJ46" s="154">
        <f t="shared" si="78"/>
        <v>5.8219178082191785E-2</v>
      </c>
      <c r="AK46" s="154">
        <f t="shared" si="79"/>
        <v>0</v>
      </c>
      <c r="AL46" s="161">
        <f t="shared" si="80"/>
        <v>587.32876712328766</v>
      </c>
      <c r="AM46" s="161">
        <f t="shared" si="81"/>
        <v>58.219178082191782</v>
      </c>
      <c r="AN46" s="161">
        <f t="shared" si="82"/>
        <v>0</v>
      </c>
      <c r="AO46" s="161"/>
      <c r="AP46" s="154">
        <f t="shared" si="83"/>
        <v>0.64554794520547942</v>
      </c>
      <c r="AQ46" s="154">
        <f t="shared" si="84"/>
        <v>0.64554794520547942</v>
      </c>
      <c r="AR46" s="154">
        <f t="shared" si="85"/>
        <v>1.7971999999999999</v>
      </c>
      <c r="AS46" s="161"/>
      <c r="AT46" s="161"/>
      <c r="AU46" s="161"/>
      <c r="AV46" s="161"/>
      <c r="AW46" s="181"/>
      <c r="AX46" s="181"/>
      <c r="AY46" s="181"/>
      <c r="AZ46" s="181"/>
      <c r="BA46" s="181"/>
      <c r="BB46" s="161"/>
      <c r="BC46" s="161"/>
      <c r="BD46" s="161"/>
      <c r="BE46" s="181"/>
      <c r="BF46" s="168"/>
      <c r="BG46" s="181"/>
      <c r="BH46" s="168"/>
      <c r="BI46" s="168"/>
      <c r="BJ46" s="161"/>
      <c r="BK46" s="168"/>
      <c r="BL46" s="168"/>
      <c r="BM46" s="168"/>
      <c r="BN46" s="168"/>
      <c r="BO46" s="168">
        <f t="shared" si="86"/>
        <v>319.50684931506839</v>
      </c>
      <c r="BP46" s="168">
        <f t="shared" si="87"/>
        <v>31.671232876712324</v>
      </c>
      <c r="BQ46" s="168">
        <f t="shared" si="88"/>
        <v>0</v>
      </c>
      <c r="BR46" s="181"/>
      <c r="BS46" s="161"/>
      <c r="BT46" s="168"/>
      <c r="BU46" s="161"/>
      <c r="BV46" s="161"/>
      <c r="BW46" s="161"/>
      <c r="BX46" s="161"/>
      <c r="CB46" s="181">
        <f t="shared" si="89"/>
        <v>26.163030459035173</v>
      </c>
      <c r="CC46" s="181">
        <f t="shared" si="89"/>
        <v>0</v>
      </c>
      <c r="CD46" s="181">
        <f t="shared" si="89"/>
        <v>30.579678000843312</v>
      </c>
      <c r="CE46" s="181">
        <f t="shared" si="89"/>
        <v>0</v>
      </c>
      <c r="CF46" s="181">
        <f t="shared" si="89"/>
        <v>101.7211643332745</v>
      </c>
      <c r="CG46" s="181">
        <f t="shared" si="89"/>
        <v>0</v>
      </c>
      <c r="CH46" s="181">
        <f t="shared" si="89"/>
        <v>30.619651436138533</v>
      </c>
      <c r="CI46" s="181">
        <f t="shared" si="89"/>
        <v>0</v>
      </c>
      <c r="CJ46" s="182">
        <f t="shared" si="90"/>
        <v>189.0835242292915</v>
      </c>
      <c r="CK46" s="161">
        <f t="shared" si="91"/>
        <v>189.0835242292915</v>
      </c>
      <c r="CL46" s="161">
        <f t="shared" si="243"/>
        <v>529.19999999999993</v>
      </c>
      <c r="CM46" s="182">
        <f t="shared" si="92"/>
        <v>718.2835242292914</v>
      </c>
      <c r="CN46" s="157">
        <f t="shared" si="93"/>
        <v>102.86143718073455</v>
      </c>
      <c r="CO46" s="162">
        <f t="shared" si="94"/>
        <v>718.2835242292914</v>
      </c>
      <c r="FT46" s="168">
        <f t="shared" si="244"/>
        <v>2.5</v>
      </c>
      <c r="FU46" s="161">
        <f t="shared" si="245"/>
        <v>350</v>
      </c>
      <c r="FV46" s="161">
        <f t="shared" si="33"/>
        <v>525</v>
      </c>
      <c r="FW46" s="161">
        <f t="shared" si="95"/>
        <v>875</v>
      </c>
      <c r="FX46" s="161">
        <v>543.99999999999989</v>
      </c>
      <c r="FY46" s="168">
        <f t="shared" si="96"/>
        <v>2.5</v>
      </c>
      <c r="FZ46" s="161">
        <v>350</v>
      </c>
      <c r="GA46" s="161">
        <v>525</v>
      </c>
      <c r="GB46" s="161">
        <v>875</v>
      </c>
      <c r="GC46" s="168">
        <f t="shared" si="246"/>
        <v>0.56785714285714284</v>
      </c>
      <c r="GD46" s="154">
        <f t="shared" si="97"/>
        <v>21</v>
      </c>
      <c r="GE46" s="181">
        <f t="shared" si="98"/>
        <v>13.584745762711865</v>
      </c>
      <c r="GF46" s="181">
        <f t="shared" si="34"/>
        <v>6.1544794188861989</v>
      </c>
      <c r="GG46" s="154">
        <f t="shared" si="99"/>
        <v>0.5</v>
      </c>
      <c r="GH46" s="181">
        <f t="shared" si="100"/>
        <v>8.7714285714285722</v>
      </c>
      <c r="GI46" s="181">
        <f t="shared" si="101"/>
        <v>22.5292902066487</v>
      </c>
      <c r="GJ46" s="181">
        <f t="shared" si="102"/>
        <v>22.5292902066487</v>
      </c>
      <c r="GK46" s="181">
        <f t="shared" si="103"/>
        <v>0.5</v>
      </c>
      <c r="GL46" s="157">
        <f t="shared" si="104"/>
        <v>526.06285714285718</v>
      </c>
      <c r="GM46" s="157">
        <f t="shared" si="105"/>
        <v>1451.3999999999999</v>
      </c>
      <c r="GN46" s="157">
        <f t="shared" si="106"/>
        <v>0</v>
      </c>
      <c r="GO46" s="157">
        <f t="shared" si="107"/>
        <v>925.33714285714268</v>
      </c>
      <c r="GP46" s="157">
        <f t="shared" si="108"/>
        <v>1808.1000000000001</v>
      </c>
      <c r="GQ46" s="157">
        <f t="shared" si="109"/>
        <v>718.2835242292914</v>
      </c>
      <c r="GR46" s="157">
        <f t="shared" si="110"/>
        <v>2733.437142857143</v>
      </c>
      <c r="GS46" s="200">
        <f t="shared" si="111"/>
        <v>1</v>
      </c>
      <c r="GT46" s="157">
        <f t="shared" si="112"/>
        <v>718.2835242292914</v>
      </c>
      <c r="GU46" s="157">
        <f t="shared" si="113"/>
        <v>645.54794520547944</v>
      </c>
      <c r="GV46" s="162">
        <f t="shared" si="114"/>
        <v>2660.7015638333314</v>
      </c>
      <c r="GW46" s="157">
        <f t="shared" si="115"/>
        <v>875</v>
      </c>
      <c r="GX46" s="157">
        <f t="shared" si="247"/>
        <v>525</v>
      </c>
      <c r="GY46" s="207">
        <f t="shared" si="35"/>
        <v>350</v>
      </c>
      <c r="GZ46" s="207">
        <f t="shared" si="116"/>
        <v>350</v>
      </c>
      <c r="HA46" s="157">
        <f t="shared" si="117"/>
        <v>350</v>
      </c>
      <c r="HB46" s="157">
        <f t="shared" si="36"/>
        <v>525</v>
      </c>
      <c r="HC46" s="157">
        <f t="shared" si="37"/>
        <v>875</v>
      </c>
      <c r="HD46" s="168">
        <f t="shared" si="38"/>
        <v>190.39999999999995</v>
      </c>
      <c r="HE46" s="168">
        <f t="shared" si="118"/>
        <v>285.59999999999997</v>
      </c>
      <c r="HF46" s="168">
        <f t="shared" si="39"/>
        <v>475.99999999999989</v>
      </c>
      <c r="HG46" s="157">
        <f t="shared" si="119"/>
        <v>1785.7015638333314</v>
      </c>
      <c r="HH46" s="168">
        <f t="shared" si="120"/>
        <v>0</v>
      </c>
      <c r="HI46" s="168">
        <f t="shared" si="121"/>
        <v>390.74623718073445</v>
      </c>
      <c r="HJ46" s="168">
        <f t="shared" si="122"/>
        <v>1447.421650725332</v>
      </c>
      <c r="HK46" s="168">
        <f t="shared" si="123"/>
        <v>971.42165072533203</v>
      </c>
      <c r="HL46" s="168">
        <f t="shared" si="124"/>
        <v>2124.3460821917806</v>
      </c>
      <c r="HM46" s="157">
        <f t="shared" si="125"/>
        <v>875</v>
      </c>
      <c r="HN46" s="168">
        <f t="shared" si="126"/>
        <v>285.59999999999997</v>
      </c>
      <c r="HP46" s="168">
        <f t="shared" si="127"/>
        <v>789.56159999999977</v>
      </c>
      <c r="HQ46" s="168">
        <f t="shared" si="128"/>
        <v>503.38340571428552</v>
      </c>
      <c r="HR46" s="181"/>
      <c r="HU46" s="168">
        <f t="shared" si="287"/>
        <v>2.5</v>
      </c>
      <c r="HV46" s="161">
        <f t="shared" si="287"/>
        <v>350</v>
      </c>
      <c r="HW46" s="161">
        <f t="shared" si="40"/>
        <v>525</v>
      </c>
      <c r="HX46" s="161">
        <f t="shared" si="41"/>
        <v>875</v>
      </c>
      <c r="HY46" s="161">
        <v>543.99999999999989</v>
      </c>
      <c r="HZ46" s="168">
        <f t="shared" si="129"/>
        <v>2.5</v>
      </c>
      <c r="IA46" s="161">
        <v>350</v>
      </c>
      <c r="IB46" s="161">
        <v>525</v>
      </c>
      <c r="IC46" s="161">
        <v>875</v>
      </c>
      <c r="ID46" s="168">
        <f t="shared" si="288"/>
        <v>0.56785714285714284</v>
      </c>
      <c r="IE46" s="154">
        <f t="shared" si="130"/>
        <v>21</v>
      </c>
      <c r="IF46" s="154">
        <f t="shared" si="131"/>
        <v>0.5</v>
      </c>
      <c r="IG46" s="181">
        <f t="shared" si="132"/>
        <v>9.3589285714285726</v>
      </c>
      <c r="IH46" s="181">
        <f t="shared" si="133"/>
        <v>13.45892857142857</v>
      </c>
      <c r="II46" s="181">
        <f t="shared" si="134"/>
        <v>1.9436743341404368</v>
      </c>
      <c r="IJ46" s="181">
        <f t="shared" si="135"/>
        <v>27.216790206648696</v>
      </c>
      <c r="IK46" s="181">
        <f t="shared" si="136"/>
        <v>27.216790206648696</v>
      </c>
      <c r="IL46" s="181">
        <f t="shared" si="250"/>
        <v>0</v>
      </c>
      <c r="IM46" s="181">
        <f t="shared" si="137"/>
        <v>0.5</v>
      </c>
      <c r="IN46" s="157">
        <f t="shared" si="138"/>
        <v>824.18785714285707</v>
      </c>
      <c r="IO46" s="157">
        <f t="shared" si="139"/>
        <v>1451.3999999999999</v>
      </c>
      <c r="IP46" s="157">
        <f t="shared" si="42"/>
        <v>0</v>
      </c>
      <c r="IQ46" s="157">
        <f t="shared" si="43"/>
        <v>627.21214285714279</v>
      </c>
      <c r="IR46" s="157">
        <f t="shared" si="140"/>
        <v>1808.1000000000001</v>
      </c>
      <c r="IS46" s="157">
        <f t="shared" si="141"/>
        <v>718.2835242292914</v>
      </c>
      <c r="IT46" s="157">
        <f t="shared" si="142"/>
        <v>2435.312142857143</v>
      </c>
      <c r="IU46" s="200">
        <f t="shared" si="143"/>
        <v>1</v>
      </c>
      <c r="IV46" s="157">
        <f t="shared" si="144"/>
        <v>718.2835242292914</v>
      </c>
      <c r="IW46" s="157">
        <f t="shared" si="145"/>
        <v>645.54794520547944</v>
      </c>
      <c r="IX46" s="162">
        <f t="shared" si="146"/>
        <v>2362.5765638333314</v>
      </c>
      <c r="IY46" s="157">
        <f t="shared" si="22"/>
        <v>875</v>
      </c>
      <c r="IZ46" s="157">
        <f t="shared" si="147"/>
        <v>525</v>
      </c>
      <c r="JA46" s="207">
        <f t="shared" si="148"/>
        <v>350</v>
      </c>
      <c r="JB46" s="207">
        <f t="shared" si="149"/>
        <v>350</v>
      </c>
      <c r="JC46" s="157">
        <f t="shared" si="150"/>
        <v>350</v>
      </c>
      <c r="JD46" s="157">
        <f t="shared" si="151"/>
        <v>525</v>
      </c>
      <c r="JE46" s="157">
        <f t="shared" si="152"/>
        <v>875</v>
      </c>
      <c r="JF46" s="168">
        <f t="shared" si="153"/>
        <v>190.39999999999995</v>
      </c>
      <c r="JG46" s="168">
        <f t="shared" si="154"/>
        <v>285.59999999999997</v>
      </c>
      <c r="JH46" s="168">
        <f t="shared" si="155"/>
        <v>475.99999999999989</v>
      </c>
      <c r="JI46" s="157">
        <f t="shared" si="156"/>
        <v>1487.5765638333314</v>
      </c>
      <c r="JJ46" s="168">
        <f t="shared" si="157"/>
        <v>0</v>
      </c>
      <c r="JK46" s="168">
        <f t="shared" si="158"/>
        <v>390.74623718073445</v>
      </c>
      <c r="JL46" s="168">
        <f t="shared" si="159"/>
        <v>1285.241650725332</v>
      </c>
      <c r="JM46" s="168">
        <f t="shared" si="160"/>
        <v>809.24165072533208</v>
      </c>
      <c r="JN46" s="168">
        <f t="shared" si="161"/>
        <v>2124.3460821917806</v>
      </c>
      <c r="JO46" s="157">
        <f t="shared" si="162"/>
        <v>98.012142857142862</v>
      </c>
      <c r="JP46" s="168">
        <f t="shared" si="163"/>
        <v>285.59999999999997</v>
      </c>
      <c r="JR46" s="168">
        <f t="shared" si="164"/>
        <v>789.56159999999977</v>
      </c>
      <c r="JS46" s="168">
        <f t="shared" si="165"/>
        <v>341.20340571428562</v>
      </c>
      <c r="JT46" s="181"/>
      <c r="JW46" s="168">
        <f t="shared" ref="JW46:JX46" si="299">JW45</f>
        <v>2.5</v>
      </c>
      <c r="JX46" s="161">
        <f t="shared" si="299"/>
        <v>350</v>
      </c>
      <c r="JY46" s="161">
        <f t="shared" si="44"/>
        <v>525</v>
      </c>
      <c r="JZ46" s="161">
        <f t="shared" si="45"/>
        <v>875</v>
      </c>
      <c r="KA46" s="161">
        <v>543.99999999999989</v>
      </c>
      <c r="KB46" s="168">
        <f t="shared" si="166"/>
        <v>2.5</v>
      </c>
      <c r="KC46" s="161">
        <v>350</v>
      </c>
      <c r="KD46" s="161">
        <v>525</v>
      </c>
      <c r="KE46" s="161">
        <v>875</v>
      </c>
      <c r="KF46" s="168">
        <f t="shared" ref="KF46" si="300">KF45</f>
        <v>0.56785714285714284</v>
      </c>
      <c r="KG46" s="154">
        <f t="shared" si="167"/>
        <v>21</v>
      </c>
      <c r="KH46" s="154">
        <f t="shared" si="168"/>
        <v>0.5</v>
      </c>
      <c r="KI46" s="181">
        <f t="shared" si="169"/>
        <v>9.3589285714285726</v>
      </c>
      <c r="KJ46" s="181">
        <f t="shared" si="170"/>
        <v>13.45892857142857</v>
      </c>
      <c r="KK46" s="181">
        <f t="shared" si="171"/>
        <v>1.9436743341404368</v>
      </c>
      <c r="KL46" s="181">
        <f t="shared" si="172"/>
        <v>13.45892857142857</v>
      </c>
      <c r="KM46" s="181">
        <f t="shared" si="173"/>
        <v>15</v>
      </c>
      <c r="KN46" s="181">
        <f t="shared" si="253"/>
        <v>0</v>
      </c>
      <c r="KO46" s="181">
        <f t="shared" si="174"/>
        <v>0.5</v>
      </c>
      <c r="KP46" s="157">
        <f t="shared" si="175"/>
        <v>824.18785714285707</v>
      </c>
      <c r="KQ46" s="157">
        <f t="shared" si="46"/>
        <v>1451.3999999999999</v>
      </c>
      <c r="KR46" s="157">
        <f t="shared" si="176"/>
        <v>98.012142857142905</v>
      </c>
      <c r="KS46" s="157">
        <f t="shared" si="177"/>
        <v>529.19999999999993</v>
      </c>
      <c r="KT46" s="157">
        <f t="shared" si="178"/>
        <v>1808.1000000000001</v>
      </c>
      <c r="KU46" s="157">
        <f t="shared" si="179"/>
        <v>718.2835242292914</v>
      </c>
      <c r="KV46" s="157">
        <f t="shared" si="180"/>
        <v>2337.3000000000002</v>
      </c>
      <c r="KW46" s="200">
        <f t="shared" si="181"/>
        <v>1</v>
      </c>
      <c r="KX46" s="157">
        <f t="shared" si="182"/>
        <v>718.2835242292914</v>
      </c>
      <c r="KY46" s="157">
        <f t="shared" si="183"/>
        <v>645.54794520547944</v>
      </c>
      <c r="KZ46" s="162">
        <f t="shared" si="47"/>
        <v>2362.5765638333314</v>
      </c>
      <c r="LA46" s="157">
        <f t="shared" si="184"/>
        <v>875</v>
      </c>
      <c r="LB46" s="157">
        <f t="shared" si="185"/>
        <v>525</v>
      </c>
      <c r="LC46" s="207">
        <f t="shared" si="186"/>
        <v>350</v>
      </c>
      <c r="LD46" s="207">
        <f t="shared" si="187"/>
        <v>350</v>
      </c>
      <c r="LE46" s="157">
        <f t="shared" si="188"/>
        <v>350</v>
      </c>
      <c r="LF46" s="157">
        <f t="shared" si="189"/>
        <v>525</v>
      </c>
      <c r="LG46" s="157">
        <f t="shared" si="190"/>
        <v>875</v>
      </c>
      <c r="LH46" s="168">
        <f t="shared" si="191"/>
        <v>190.39999999999995</v>
      </c>
      <c r="LI46" s="168">
        <f t="shared" si="192"/>
        <v>285.59999999999997</v>
      </c>
      <c r="LJ46" s="168">
        <f t="shared" si="193"/>
        <v>475.99999999999989</v>
      </c>
      <c r="LK46" s="157">
        <f t="shared" si="194"/>
        <v>1487.5765638333314</v>
      </c>
      <c r="LL46" s="168">
        <f t="shared" si="195"/>
        <v>53.318605714285731</v>
      </c>
      <c r="LM46" s="168">
        <f t="shared" si="196"/>
        <v>390.74623718073445</v>
      </c>
      <c r="LN46" s="168">
        <f t="shared" si="197"/>
        <v>1285.241650725332</v>
      </c>
      <c r="LO46" s="168">
        <f t="shared" si="198"/>
        <v>809.24165072533208</v>
      </c>
      <c r="LP46" s="168">
        <f t="shared" si="199"/>
        <v>2124.3460821917806</v>
      </c>
      <c r="LQ46" s="157">
        <f t="shared" si="200"/>
        <v>98.012142857142862</v>
      </c>
      <c r="LR46" s="168">
        <f t="shared" si="201"/>
        <v>285.59999999999997</v>
      </c>
      <c r="LT46" s="168">
        <f t="shared" si="202"/>
        <v>789.56159999999977</v>
      </c>
      <c r="LU46" s="168">
        <f t="shared" si="203"/>
        <v>341.20340571428562</v>
      </c>
      <c r="LV46" s="181"/>
      <c r="LY46" s="168">
        <f t="shared" si="291"/>
        <v>2.5</v>
      </c>
      <c r="LZ46" s="161">
        <f t="shared" si="291"/>
        <v>350</v>
      </c>
      <c r="MA46" s="161">
        <f t="shared" si="48"/>
        <v>525</v>
      </c>
      <c r="MB46" s="161">
        <f t="shared" si="49"/>
        <v>875</v>
      </c>
      <c r="MC46" s="161">
        <v>543.99999999999989</v>
      </c>
      <c r="MD46" s="168">
        <f t="shared" si="204"/>
        <v>2.5</v>
      </c>
      <c r="ME46" s="161">
        <v>350</v>
      </c>
      <c r="MF46" s="161">
        <v>525</v>
      </c>
      <c r="MG46" s="161">
        <v>875</v>
      </c>
      <c r="MH46" s="168">
        <f t="shared" si="292"/>
        <v>0.56785714285714284</v>
      </c>
      <c r="MI46" s="154">
        <f t="shared" si="205"/>
        <v>21</v>
      </c>
      <c r="MJ46" s="181">
        <f t="shared" si="206"/>
        <v>13.584745762711865</v>
      </c>
      <c r="MK46" s="181">
        <f t="shared" si="207"/>
        <v>6.1544794188861989</v>
      </c>
      <c r="ML46" s="154">
        <f t="shared" si="208"/>
        <v>0.5</v>
      </c>
      <c r="MM46" s="181">
        <f t="shared" si="209"/>
        <v>8.7714285714285722</v>
      </c>
      <c r="MN46" s="181">
        <f t="shared" si="210"/>
        <v>8.7714285714285722</v>
      </c>
      <c r="MO46" s="181">
        <f t="shared" si="211"/>
        <v>15</v>
      </c>
      <c r="MP46" s="181">
        <f t="shared" si="212"/>
        <v>0.5</v>
      </c>
      <c r="MQ46" s="157">
        <f t="shared" si="50"/>
        <v>526.06285714285718</v>
      </c>
      <c r="MR46" s="157">
        <f t="shared" si="213"/>
        <v>1451.3999999999999</v>
      </c>
      <c r="MS46" s="157">
        <f t="shared" si="214"/>
        <v>396.13714285714275</v>
      </c>
      <c r="MT46" s="157">
        <f t="shared" si="215"/>
        <v>529.19999999999993</v>
      </c>
      <c r="MU46" s="157">
        <f t="shared" si="216"/>
        <v>1808.1000000000001</v>
      </c>
      <c r="MV46" s="157">
        <f t="shared" si="217"/>
        <v>718.2835242292914</v>
      </c>
      <c r="MW46" s="157">
        <f t="shared" si="218"/>
        <v>2337.3000000000002</v>
      </c>
      <c r="MX46" s="200">
        <f t="shared" si="219"/>
        <v>1</v>
      </c>
      <c r="MY46" s="157">
        <f t="shared" si="220"/>
        <v>718.2835242292914</v>
      </c>
      <c r="MZ46" s="157">
        <f t="shared" si="221"/>
        <v>645.54794520547944</v>
      </c>
      <c r="NA46" s="162">
        <f t="shared" si="222"/>
        <v>2660.7015638333314</v>
      </c>
      <c r="NB46" s="157">
        <f t="shared" si="223"/>
        <v>875</v>
      </c>
      <c r="NC46" s="157">
        <f t="shared" si="224"/>
        <v>525</v>
      </c>
      <c r="ND46" s="207">
        <f t="shared" si="51"/>
        <v>350</v>
      </c>
      <c r="NE46" s="207">
        <f t="shared" si="225"/>
        <v>350</v>
      </c>
      <c r="NF46" s="157">
        <f t="shared" si="226"/>
        <v>350</v>
      </c>
      <c r="NG46" s="157">
        <f t="shared" si="52"/>
        <v>525</v>
      </c>
      <c r="NH46" s="157">
        <f t="shared" si="53"/>
        <v>875</v>
      </c>
      <c r="NI46" s="168">
        <f t="shared" si="227"/>
        <v>190.39999999999995</v>
      </c>
      <c r="NJ46" s="168">
        <f t="shared" si="228"/>
        <v>285.59999999999997</v>
      </c>
      <c r="NK46" s="168">
        <f t="shared" si="229"/>
        <v>475.99999999999989</v>
      </c>
      <c r="NL46" s="157">
        <f t="shared" si="230"/>
        <v>1785.7015638333314</v>
      </c>
      <c r="NM46" s="168">
        <f t="shared" si="231"/>
        <v>215.49860571428562</v>
      </c>
      <c r="NN46" s="168">
        <f t="shared" si="232"/>
        <v>390.74623718073445</v>
      </c>
      <c r="NO46" s="168">
        <f t="shared" si="233"/>
        <v>1447.421650725332</v>
      </c>
      <c r="NP46" s="168">
        <f t="shared" si="234"/>
        <v>971.42165072533203</v>
      </c>
      <c r="NQ46" s="168">
        <f t="shared" si="235"/>
        <v>2124.3460821917806</v>
      </c>
      <c r="NR46" s="157">
        <f t="shared" si="236"/>
        <v>396.13714285714275</v>
      </c>
      <c r="NS46" s="168">
        <f t="shared" si="237"/>
        <v>285.59999999999997</v>
      </c>
      <c r="NT46" s="157">
        <f t="shared" si="238"/>
        <v>3905.0479452054797</v>
      </c>
      <c r="NU46" s="168">
        <f t="shared" si="239"/>
        <v>789.56159999999977</v>
      </c>
      <c r="NV46" s="168">
        <f t="shared" si="240"/>
        <v>503.38340571428552</v>
      </c>
      <c r="NW46" s="181"/>
      <c r="NX46" s="157"/>
      <c r="NY46" s="157"/>
      <c r="NZ46" s="157"/>
      <c r="OA46" s="157"/>
      <c r="OB46" s="157"/>
    </row>
    <row r="47" spans="1:392" ht="13" x14ac:dyDescent="0.3">
      <c r="A47" s="154">
        <v>36.803652968036531</v>
      </c>
      <c r="B47" s="154">
        <v>1.5</v>
      </c>
      <c r="C47" s="154">
        <f t="shared" si="241"/>
        <v>1.5</v>
      </c>
      <c r="D47" s="154">
        <v>16252.900000000001</v>
      </c>
      <c r="E47" s="200">
        <f t="shared" si="242"/>
        <v>33.3735112936345</v>
      </c>
      <c r="F47" s="181">
        <f t="shared" si="54"/>
        <v>1719.9</v>
      </c>
      <c r="G47" s="161">
        <f t="shared" si="258"/>
        <v>487</v>
      </c>
      <c r="H47" s="154">
        <f t="shared" si="55"/>
        <v>1.7199</v>
      </c>
      <c r="I47" s="161">
        <f t="shared" si="56"/>
        <v>9496.5</v>
      </c>
      <c r="J47" s="181">
        <f t="shared" si="57"/>
        <v>21</v>
      </c>
      <c r="K47" s="181">
        <f t="shared" si="58"/>
        <v>13.584745762711865</v>
      </c>
      <c r="L47" s="181">
        <f t="shared" si="59"/>
        <v>6.7223365617433419</v>
      </c>
      <c r="M47" s="181">
        <f t="shared" si="60"/>
        <v>1.5</v>
      </c>
      <c r="N47" s="181">
        <f t="shared" si="61"/>
        <v>9.1392857142857142</v>
      </c>
      <c r="O47" s="181">
        <f t="shared" si="62"/>
        <v>9.1392857142857142</v>
      </c>
      <c r="P47" s="181">
        <f t="shared" si="63"/>
        <v>15</v>
      </c>
      <c r="Q47" s="181">
        <f t="shared" si="64"/>
        <v>14.642430368373766</v>
      </c>
      <c r="R47" s="168">
        <f t="shared" si="65"/>
        <v>426.125</v>
      </c>
      <c r="S47" s="161">
        <f t="shared" si="66"/>
        <v>1458.892339069866</v>
      </c>
      <c r="T47" s="161">
        <f t="shared" si="67"/>
        <v>60.40012492461446</v>
      </c>
      <c r="U47" s="161">
        <f t="shared" si="68"/>
        <v>48.601763429993227</v>
      </c>
      <c r="V47" s="154">
        <f t="shared" si="69"/>
        <v>0.3727414285714285</v>
      </c>
      <c r="W47" s="154">
        <f t="shared" si="70"/>
        <v>1.6348135827189973</v>
      </c>
      <c r="X47" s="154">
        <f t="shared" si="71"/>
        <v>2.9956721541475688</v>
      </c>
      <c r="Y47" s="154">
        <f t="shared" si="72"/>
        <v>3.7460479452054791</v>
      </c>
      <c r="Z47" s="154">
        <f t="shared" si="73"/>
        <v>1.3805999999999998</v>
      </c>
      <c r="AA47" s="154">
        <f t="shared" si="74"/>
        <v>0.75037579105791041</v>
      </c>
      <c r="AB47" s="154">
        <f t="shared" si="26"/>
        <v>2.5098135827189978</v>
      </c>
      <c r="AC47" s="154">
        <f t="shared" si="27"/>
        <v>0.64554794520547942</v>
      </c>
      <c r="AD47" s="154">
        <f t="shared" si="28"/>
        <v>0.35</v>
      </c>
      <c r="AE47" s="154">
        <f t="shared" si="29"/>
        <v>0.52500000000000002</v>
      </c>
      <c r="AF47" s="154">
        <f t="shared" si="30"/>
        <v>0.875</v>
      </c>
      <c r="AG47" s="154">
        <f t="shared" si="75"/>
        <v>0.48585857142857142</v>
      </c>
      <c r="AH47" s="154">
        <f t="shared" si="76"/>
        <v>1.3608585714285715</v>
      </c>
      <c r="AI47" s="154">
        <f t="shared" si="77"/>
        <v>0.58732876712328763</v>
      </c>
      <c r="AJ47" s="154">
        <f t="shared" si="78"/>
        <v>5.8219178082191785E-2</v>
      </c>
      <c r="AK47" s="154">
        <f t="shared" si="79"/>
        <v>0</v>
      </c>
      <c r="AL47" s="161">
        <f t="shared" si="80"/>
        <v>587.32876712328766</v>
      </c>
      <c r="AM47" s="161">
        <f t="shared" si="81"/>
        <v>58.219178082191782</v>
      </c>
      <c r="AN47" s="161">
        <f t="shared" si="82"/>
        <v>0</v>
      </c>
      <c r="AO47" s="161"/>
      <c r="AP47" s="154">
        <f t="shared" si="83"/>
        <v>0.64554794520547942</v>
      </c>
      <c r="AQ47" s="154">
        <f t="shared" si="84"/>
        <v>0.64554794520547942</v>
      </c>
      <c r="AR47" s="154">
        <f t="shared" si="85"/>
        <v>1.7336</v>
      </c>
      <c r="AS47" s="161"/>
      <c r="AT47" s="161"/>
      <c r="AU47" s="161"/>
      <c r="AV47" s="161"/>
      <c r="AW47" s="181"/>
      <c r="AX47" s="181"/>
      <c r="AY47" s="181"/>
      <c r="AZ47" s="181"/>
      <c r="BA47" s="181"/>
      <c r="BB47" s="161"/>
      <c r="BC47" s="161"/>
      <c r="BD47" s="161"/>
      <c r="BE47" s="181"/>
      <c r="BF47" s="168"/>
      <c r="BG47" s="181"/>
      <c r="BH47" s="168"/>
      <c r="BI47" s="168"/>
      <c r="BJ47" s="161"/>
      <c r="BK47" s="168"/>
      <c r="BL47" s="168"/>
      <c r="BM47" s="168"/>
      <c r="BN47" s="168"/>
      <c r="BO47" s="168">
        <f t="shared" si="86"/>
        <v>286.02910958904107</v>
      </c>
      <c r="BP47" s="168">
        <f t="shared" si="87"/>
        <v>28.352739726027398</v>
      </c>
      <c r="BQ47" s="168">
        <f t="shared" si="88"/>
        <v>0</v>
      </c>
      <c r="BR47" s="181"/>
      <c r="BS47" s="161"/>
      <c r="BT47" s="168"/>
      <c r="BU47" s="161"/>
      <c r="BV47" s="161"/>
      <c r="BW47" s="161"/>
      <c r="BX47" s="161"/>
      <c r="CB47" s="181">
        <f t="shared" si="89"/>
        <v>30.603559891512148</v>
      </c>
      <c r="CC47" s="181">
        <f t="shared" si="89"/>
        <v>0</v>
      </c>
      <c r="CD47" s="181">
        <f t="shared" si="89"/>
        <v>35.769824471491155</v>
      </c>
      <c r="CE47" s="181">
        <f t="shared" si="89"/>
        <v>0</v>
      </c>
      <c r="CF47" s="181">
        <f t="shared" si="89"/>
        <v>118.98582428293041</v>
      </c>
      <c r="CG47" s="181">
        <f t="shared" si="89"/>
        <v>0</v>
      </c>
      <c r="CH47" s="181">
        <f t="shared" si="89"/>
        <v>35.816582411976768</v>
      </c>
      <c r="CI47" s="181">
        <f t="shared" si="89"/>
        <v>0</v>
      </c>
      <c r="CJ47" s="182">
        <f t="shared" si="90"/>
        <v>221.17579105791049</v>
      </c>
      <c r="CK47" s="161">
        <f t="shared" si="91"/>
        <v>221.17579105791049</v>
      </c>
      <c r="CL47" s="161">
        <f t="shared" si="243"/>
        <v>529.19999999999993</v>
      </c>
      <c r="CM47" s="182">
        <f t="shared" si="92"/>
        <v>750.37579105791042</v>
      </c>
      <c r="CN47" s="157">
        <f t="shared" si="93"/>
        <v>107.71261024520241</v>
      </c>
      <c r="CO47" s="162">
        <f t="shared" si="94"/>
        <v>750.37579105791042</v>
      </c>
      <c r="FT47" s="168">
        <f t="shared" si="244"/>
        <v>2.5</v>
      </c>
      <c r="FU47" s="161">
        <f t="shared" si="245"/>
        <v>350</v>
      </c>
      <c r="FV47" s="161">
        <f t="shared" si="33"/>
        <v>525</v>
      </c>
      <c r="FW47" s="161">
        <f t="shared" si="95"/>
        <v>875</v>
      </c>
      <c r="FX47" s="161">
        <v>487</v>
      </c>
      <c r="FY47" s="168">
        <f t="shared" si="96"/>
        <v>2.5</v>
      </c>
      <c r="FZ47" s="161">
        <v>350</v>
      </c>
      <c r="GA47" s="161">
        <v>525</v>
      </c>
      <c r="GB47" s="161">
        <v>875</v>
      </c>
      <c r="GC47" s="168">
        <f t="shared" si="246"/>
        <v>0.56785714285714284</v>
      </c>
      <c r="GD47" s="154">
        <f t="shared" si="97"/>
        <v>21</v>
      </c>
      <c r="GE47" s="181">
        <f t="shared" si="98"/>
        <v>13.584745762711865</v>
      </c>
      <c r="GF47" s="181">
        <f t="shared" si="34"/>
        <v>6.7223365617433419</v>
      </c>
      <c r="GG47" s="154">
        <f t="shared" si="99"/>
        <v>1.5</v>
      </c>
      <c r="GH47" s="181">
        <f t="shared" si="100"/>
        <v>9.1392857142857142</v>
      </c>
      <c r="GI47" s="181">
        <f t="shared" si="101"/>
        <v>22.897147349505843</v>
      </c>
      <c r="GJ47" s="181">
        <f t="shared" si="102"/>
        <v>22.897147349505843</v>
      </c>
      <c r="GK47" s="181">
        <f t="shared" si="103"/>
        <v>1.5</v>
      </c>
      <c r="GL47" s="157">
        <f t="shared" si="104"/>
        <v>485.85857142857139</v>
      </c>
      <c r="GM47" s="157">
        <f t="shared" si="105"/>
        <v>1380.6</v>
      </c>
      <c r="GN47" s="157">
        <f t="shared" si="106"/>
        <v>0</v>
      </c>
      <c r="GO47" s="157">
        <f t="shared" si="107"/>
        <v>894.74142857142851</v>
      </c>
      <c r="GP47" s="157">
        <f t="shared" si="108"/>
        <v>1719.9</v>
      </c>
      <c r="GQ47" s="157">
        <f t="shared" si="109"/>
        <v>750.37579105791042</v>
      </c>
      <c r="GR47" s="157">
        <f t="shared" si="110"/>
        <v>2614.6414285714286</v>
      </c>
      <c r="GS47" s="200">
        <f t="shared" si="111"/>
        <v>1</v>
      </c>
      <c r="GT47" s="157">
        <f t="shared" si="112"/>
        <v>750.37579105791042</v>
      </c>
      <c r="GU47" s="157">
        <f t="shared" si="113"/>
        <v>645.54794520547944</v>
      </c>
      <c r="GV47" s="162">
        <f t="shared" si="114"/>
        <v>2509.8135827189976</v>
      </c>
      <c r="GW47" s="157">
        <f t="shared" si="115"/>
        <v>875</v>
      </c>
      <c r="GX47" s="157">
        <f t="shared" si="247"/>
        <v>525</v>
      </c>
      <c r="GY47" s="207">
        <f t="shared" si="35"/>
        <v>350</v>
      </c>
      <c r="GZ47" s="207">
        <f t="shared" si="116"/>
        <v>350</v>
      </c>
      <c r="HA47" s="157">
        <f t="shared" si="117"/>
        <v>350</v>
      </c>
      <c r="HB47" s="157">
        <f t="shared" si="36"/>
        <v>525</v>
      </c>
      <c r="HC47" s="157">
        <f t="shared" si="37"/>
        <v>875</v>
      </c>
      <c r="HD47" s="168">
        <f t="shared" si="38"/>
        <v>170.45</v>
      </c>
      <c r="HE47" s="168">
        <f t="shared" si="118"/>
        <v>255.67500000000001</v>
      </c>
      <c r="HF47" s="168">
        <f t="shared" si="39"/>
        <v>426.125</v>
      </c>
      <c r="HG47" s="157">
        <f t="shared" si="119"/>
        <v>1634.8135827189976</v>
      </c>
      <c r="HH47" s="168">
        <f t="shared" si="120"/>
        <v>0</v>
      </c>
      <c r="HI47" s="168">
        <f t="shared" si="121"/>
        <v>365.43301024520235</v>
      </c>
      <c r="HJ47" s="168">
        <f t="shared" si="122"/>
        <v>1222.2792147841519</v>
      </c>
      <c r="HK47" s="168">
        <f t="shared" si="123"/>
        <v>796.1542147841518</v>
      </c>
      <c r="HL47" s="168">
        <f t="shared" si="124"/>
        <v>1824.3253493150685</v>
      </c>
      <c r="HM47" s="157">
        <f t="shared" si="125"/>
        <v>875.00000000000023</v>
      </c>
      <c r="HN47" s="168">
        <f t="shared" si="126"/>
        <v>255.67500000000001</v>
      </c>
      <c r="HP47" s="168">
        <f t="shared" si="127"/>
        <v>672.35219999999993</v>
      </c>
      <c r="HQ47" s="168">
        <f t="shared" si="128"/>
        <v>435.73907571428566</v>
      </c>
      <c r="HR47" s="181"/>
      <c r="HU47" s="168">
        <f t="shared" si="287"/>
        <v>2.5</v>
      </c>
      <c r="HV47" s="161">
        <f t="shared" si="287"/>
        <v>350</v>
      </c>
      <c r="HW47" s="161">
        <f t="shared" si="40"/>
        <v>525</v>
      </c>
      <c r="HX47" s="161">
        <f t="shared" si="41"/>
        <v>875</v>
      </c>
      <c r="HY47" s="161">
        <v>487</v>
      </c>
      <c r="HZ47" s="168">
        <f t="shared" si="129"/>
        <v>2.5</v>
      </c>
      <c r="IA47" s="161">
        <v>350</v>
      </c>
      <c r="IB47" s="161">
        <v>525</v>
      </c>
      <c r="IC47" s="161">
        <v>875</v>
      </c>
      <c r="ID47" s="168">
        <f t="shared" si="288"/>
        <v>0.56785714285714284</v>
      </c>
      <c r="IE47" s="154">
        <f t="shared" si="130"/>
        <v>21</v>
      </c>
      <c r="IF47" s="154">
        <f t="shared" si="131"/>
        <v>1.5</v>
      </c>
      <c r="IG47" s="181">
        <f t="shared" si="132"/>
        <v>9.9267857142857139</v>
      </c>
      <c r="IH47" s="181">
        <f t="shared" si="133"/>
        <v>13.826785714285714</v>
      </c>
      <c r="II47" s="181">
        <f t="shared" si="134"/>
        <v>2.5115314769975781</v>
      </c>
      <c r="IJ47" s="181">
        <f t="shared" si="135"/>
        <v>27.584647349505843</v>
      </c>
      <c r="IK47" s="181">
        <f t="shared" si="136"/>
        <v>27.584647349505843</v>
      </c>
      <c r="IL47" s="181">
        <f t="shared" si="250"/>
        <v>0</v>
      </c>
      <c r="IM47" s="181">
        <f t="shared" si="137"/>
        <v>1.5</v>
      </c>
      <c r="IN47" s="157">
        <f t="shared" si="138"/>
        <v>783.98357142857139</v>
      </c>
      <c r="IO47" s="157">
        <f t="shared" si="139"/>
        <v>1380.6</v>
      </c>
      <c r="IP47" s="157">
        <f t="shared" si="42"/>
        <v>0</v>
      </c>
      <c r="IQ47" s="157">
        <f t="shared" si="43"/>
        <v>596.61642857142851</v>
      </c>
      <c r="IR47" s="157">
        <f t="shared" si="140"/>
        <v>1719.9</v>
      </c>
      <c r="IS47" s="157">
        <f t="shared" si="141"/>
        <v>750.37579105791042</v>
      </c>
      <c r="IT47" s="157">
        <f t="shared" si="142"/>
        <v>2316.5164285714286</v>
      </c>
      <c r="IU47" s="200">
        <f t="shared" si="143"/>
        <v>1</v>
      </c>
      <c r="IV47" s="157">
        <f t="shared" si="144"/>
        <v>750.37579105791042</v>
      </c>
      <c r="IW47" s="157">
        <f t="shared" si="145"/>
        <v>645.54794520547944</v>
      </c>
      <c r="IX47" s="162">
        <f t="shared" si="146"/>
        <v>2211.6885827189976</v>
      </c>
      <c r="IY47" s="157">
        <f t="shared" si="22"/>
        <v>875</v>
      </c>
      <c r="IZ47" s="157">
        <f t="shared" si="147"/>
        <v>525</v>
      </c>
      <c r="JA47" s="207">
        <f t="shared" si="148"/>
        <v>350</v>
      </c>
      <c r="JB47" s="207">
        <f t="shared" si="149"/>
        <v>350</v>
      </c>
      <c r="JC47" s="157">
        <f t="shared" si="150"/>
        <v>350</v>
      </c>
      <c r="JD47" s="157">
        <f t="shared" si="151"/>
        <v>525</v>
      </c>
      <c r="JE47" s="157">
        <f t="shared" si="152"/>
        <v>875</v>
      </c>
      <c r="JF47" s="168">
        <f t="shared" si="153"/>
        <v>170.45</v>
      </c>
      <c r="JG47" s="168">
        <f t="shared" si="154"/>
        <v>255.67500000000001</v>
      </c>
      <c r="JH47" s="168">
        <f t="shared" si="155"/>
        <v>426.125</v>
      </c>
      <c r="JI47" s="157">
        <f t="shared" si="156"/>
        <v>1336.6885827189976</v>
      </c>
      <c r="JJ47" s="168">
        <f t="shared" si="157"/>
        <v>0</v>
      </c>
      <c r="JK47" s="168">
        <f t="shared" si="158"/>
        <v>365.43301024520235</v>
      </c>
      <c r="JL47" s="168">
        <f t="shared" si="159"/>
        <v>1077.0923397841518</v>
      </c>
      <c r="JM47" s="168">
        <f t="shared" si="160"/>
        <v>650.96733978415182</v>
      </c>
      <c r="JN47" s="168">
        <f t="shared" si="161"/>
        <v>1824.3253493150685</v>
      </c>
      <c r="JO47" s="157">
        <f t="shared" si="162"/>
        <v>74.616428571428514</v>
      </c>
      <c r="JP47" s="168">
        <f t="shared" si="163"/>
        <v>255.67500000000001</v>
      </c>
      <c r="JR47" s="168">
        <f t="shared" si="164"/>
        <v>672.35219999999993</v>
      </c>
      <c r="JS47" s="168">
        <f t="shared" si="165"/>
        <v>290.55220071428568</v>
      </c>
      <c r="JT47" s="181"/>
      <c r="JW47" s="168">
        <f t="shared" ref="JW47:JX47" si="301">JW46</f>
        <v>2.5</v>
      </c>
      <c r="JX47" s="161">
        <f t="shared" si="301"/>
        <v>350</v>
      </c>
      <c r="JY47" s="161">
        <f t="shared" si="44"/>
        <v>525</v>
      </c>
      <c r="JZ47" s="161">
        <f t="shared" si="45"/>
        <v>875</v>
      </c>
      <c r="KA47" s="161">
        <v>487</v>
      </c>
      <c r="KB47" s="168">
        <f t="shared" si="166"/>
        <v>2.5</v>
      </c>
      <c r="KC47" s="161">
        <v>350</v>
      </c>
      <c r="KD47" s="161">
        <v>525</v>
      </c>
      <c r="KE47" s="161">
        <v>875</v>
      </c>
      <c r="KF47" s="168">
        <f t="shared" ref="KF47" si="302">KF46</f>
        <v>0.56785714285714284</v>
      </c>
      <c r="KG47" s="154">
        <f t="shared" si="167"/>
        <v>21</v>
      </c>
      <c r="KH47" s="154">
        <f t="shared" si="168"/>
        <v>1.5</v>
      </c>
      <c r="KI47" s="181">
        <f t="shared" si="169"/>
        <v>9.9267857142857139</v>
      </c>
      <c r="KJ47" s="181">
        <f t="shared" si="170"/>
        <v>13.826785714285714</v>
      </c>
      <c r="KK47" s="181">
        <f t="shared" si="171"/>
        <v>2.5115314769975781</v>
      </c>
      <c r="KL47" s="181">
        <f t="shared" si="172"/>
        <v>13.826785714285714</v>
      </c>
      <c r="KM47" s="181">
        <f t="shared" si="173"/>
        <v>15</v>
      </c>
      <c r="KN47" s="181">
        <f t="shared" si="253"/>
        <v>0</v>
      </c>
      <c r="KO47" s="181">
        <f t="shared" si="174"/>
        <v>1.5</v>
      </c>
      <c r="KP47" s="157">
        <f t="shared" si="175"/>
        <v>783.98357142857139</v>
      </c>
      <c r="KQ47" s="157">
        <f t="shared" si="46"/>
        <v>1380.6</v>
      </c>
      <c r="KR47" s="157">
        <f t="shared" si="176"/>
        <v>74.616428571428571</v>
      </c>
      <c r="KS47" s="157">
        <f t="shared" si="177"/>
        <v>522</v>
      </c>
      <c r="KT47" s="157">
        <f t="shared" si="178"/>
        <v>1719.9</v>
      </c>
      <c r="KU47" s="157">
        <f t="shared" si="179"/>
        <v>750.37579105791042</v>
      </c>
      <c r="KV47" s="157">
        <f t="shared" si="180"/>
        <v>2241.9</v>
      </c>
      <c r="KW47" s="200">
        <f t="shared" si="181"/>
        <v>1</v>
      </c>
      <c r="KX47" s="157">
        <f t="shared" si="182"/>
        <v>750.37579105791042</v>
      </c>
      <c r="KY47" s="157">
        <f t="shared" si="183"/>
        <v>645.54794520547944</v>
      </c>
      <c r="KZ47" s="162">
        <f t="shared" si="47"/>
        <v>2211.6885827189976</v>
      </c>
      <c r="LA47" s="157">
        <f t="shared" si="184"/>
        <v>875</v>
      </c>
      <c r="LB47" s="157">
        <f t="shared" si="185"/>
        <v>525</v>
      </c>
      <c r="LC47" s="207">
        <f t="shared" si="186"/>
        <v>350</v>
      </c>
      <c r="LD47" s="207">
        <f t="shared" si="187"/>
        <v>350</v>
      </c>
      <c r="LE47" s="157">
        <f t="shared" si="188"/>
        <v>350</v>
      </c>
      <c r="LF47" s="157">
        <f t="shared" si="189"/>
        <v>525</v>
      </c>
      <c r="LG47" s="157">
        <f t="shared" si="190"/>
        <v>875</v>
      </c>
      <c r="LH47" s="168">
        <f t="shared" si="191"/>
        <v>170.45</v>
      </c>
      <c r="LI47" s="168">
        <f t="shared" si="192"/>
        <v>255.67500000000001</v>
      </c>
      <c r="LJ47" s="168">
        <f t="shared" si="193"/>
        <v>426.125</v>
      </c>
      <c r="LK47" s="157">
        <f t="shared" si="194"/>
        <v>1336.6885827189976</v>
      </c>
      <c r="LL47" s="168">
        <f t="shared" si="195"/>
        <v>36.338200714285712</v>
      </c>
      <c r="LM47" s="168">
        <f t="shared" si="196"/>
        <v>365.43301024520235</v>
      </c>
      <c r="LN47" s="168">
        <f t="shared" si="197"/>
        <v>1077.0923397841518</v>
      </c>
      <c r="LO47" s="168">
        <f t="shared" si="198"/>
        <v>650.96733978415182</v>
      </c>
      <c r="LP47" s="168">
        <f t="shared" si="199"/>
        <v>1824.3253493150685</v>
      </c>
      <c r="LQ47" s="157">
        <f t="shared" si="200"/>
        <v>74.616428571428514</v>
      </c>
      <c r="LR47" s="168">
        <f t="shared" si="201"/>
        <v>255.67500000000001</v>
      </c>
      <c r="LT47" s="168">
        <f t="shared" si="202"/>
        <v>672.35219999999993</v>
      </c>
      <c r="LU47" s="168">
        <f t="shared" si="203"/>
        <v>290.55220071428568</v>
      </c>
      <c r="LV47" s="181"/>
      <c r="LY47" s="168">
        <f t="shared" si="291"/>
        <v>2.5</v>
      </c>
      <c r="LZ47" s="161">
        <f t="shared" si="291"/>
        <v>350</v>
      </c>
      <c r="MA47" s="161">
        <f t="shared" si="48"/>
        <v>525</v>
      </c>
      <c r="MB47" s="161">
        <f t="shared" si="49"/>
        <v>875</v>
      </c>
      <c r="MC47" s="161">
        <v>487</v>
      </c>
      <c r="MD47" s="168">
        <f t="shared" si="204"/>
        <v>2.5</v>
      </c>
      <c r="ME47" s="161">
        <v>350</v>
      </c>
      <c r="MF47" s="161">
        <v>525</v>
      </c>
      <c r="MG47" s="161">
        <v>875</v>
      </c>
      <c r="MH47" s="168">
        <f t="shared" si="292"/>
        <v>0.56785714285714284</v>
      </c>
      <c r="MI47" s="154">
        <f t="shared" si="205"/>
        <v>21</v>
      </c>
      <c r="MJ47" s="181">
        <f t="shared" si="206"/>
        <v>13.584745762711865</v>
      </c>
      <c r="MK47" s="181">
        <f t="shared" si="207"/>
        <v>6.7223365617433419</v>
      </c>
      <c r="ML47" s="154">
        <f t="shared" si="208"/>
        <v>1.5</v>
      </c>
      <c r="MM47" s="181">
        <f t="shared" si="209"/>
        <v>9.1392857142857142</v>
      </c>
      <c r="MN47" s="181">
        <f t="shared" si="210"/>
        <v>9.1392857142857142</v>
      </c>
      <c r="MO47" s="181">
        <f t="shared" si="211"/>
        <v>15</v>
      </c>
      <c r="MP47" s="181">
        <f t="shared" si="212"/>
        <v>1.5</v>
      </c>
      <c r="MQ47" s="157">
        <f t="shared" si="50"/>
        <v>485.85857142857139</v>
      </c>
      <c r="MR47" s="157">
        <f t="shared" si="213"/>
        <v>1380.6</v>
      </c>
      <c r="MS47" s="157">
        <f t="shared" si="214"/>
        <v>372.74142857142851</v>
      </c>
      <c r="MT47" s="157">
        <f t="shared" si="215"/>
        <v>522</v>
      </c>
      <c r="MU47" s="157">
        <f t="shared" si="216"/>
        <v>1719.9</v>
      </c>
      <c r="MV47" s="157">
        <f t="shared" si="217"/>
        <v>750.37579105791042</v>
      </c>
      <c r="MW47" s="157">
        <f t="shared" si="218"/>
        <v>2241.9</v>
      </c>
      <c r="MX47" s="200">
        <f t="shared" si="219"/>
        <v>1</v>
      </c>
      <c r="MY47" s="157">
        <f t="shared" si="220"/>
        <v>750.37579105791042</v>
      </c>
      <c r="MZ47" s="157">
        <f t="shared" si="221"/>
        <v>645.54794520547944</v>
      </c>
      <c r="NA47" s="162">
        <f t="shared" si="222"/>
        <v>2509.8135827189976</v>
      </c>
      <c r="NB47" s="157">
        <f t="shared" si="223"/>
        <v>875</v>
      </c>
      <c r="NC47" s="157">
        <f t="shared" si="224"/>
        <v>525</v>
      </c>
      <c r="ND47" s="207">
        <f t="shared" si="51"/>
        <v>350</v>
      </c>
      <c r="NE47" s="207">
        <f t="shared" si="225"/>
        <v>350</v>
      </c>
      <c r="NF47" s="157">
        <f t="shared" si="226"/>
        <v>350</v>
      </c>
      <c r="NG47" s="157">
        <f t="shared" si="52"/>
        <v>525</v>
      </c>
      <c r="NH47" s="157">
        <f t="shared" si="53"/>
        <v>875</v>
      </c>
      <c r="NI47" s="168">
        <f t="shared" si="227"/>
        <v>170.45</v>
      </c>
      <c r="NJ47" s="168">
        <f t="shared" si="228"/>
        <v>255.67500000000001</v>
      </c>
      <c r="NK47" s="168">
        <f t="shared" si="229"/>
        <v>426.125</v>
      </c>
      <c r="NL47" s="157">
        <f t="shared" si="230"/>
        <v>1634.8135827189976</v>
      </c>
      <c r="NM47" s="168">
        <f t="shared" si="231"/>
        <v>181.52507571428569</v>
      </c>
      <c r="NN47" s="168">
        <f t="shared" si="232"/>
        <v>365.43301024520235</v>
      </c>
      <c r="NO47" s="168">
        <f t="shared" si="233"/>
        <v>1222.2792147841519</v>
      </c>
      <c r="NP47" s="168">
        <f t="shared" si="234"/>
        <v>796.1542147841518</v>
      </c>
      <c r="NQ47" s="168">
        <f t="shared" si="235"/>
        <v>1824.3253493150685</v>
      </c>
      <c r="NR47" s="157">
        <f t="shared" si="236"/>
        <v>372.74142857142851</v>
      </c>
      <c r="NS47" s="168">
        <f t="shared" si="237"/>
        <v>255.67500000000001</v>
      </c>
      <c r="NT47" s="157">
        <f t="shared" si="238"/>
        <v>3746.0479452054797</v>
      </c>
      <c r="NU47" s="168">
        <f t="shared" si="239"/>
        <v>672.35219999999993</v>
      </c>
      <c r="NV47" s="168">
        <f t="shared" si="240"/>
        <v>435.73907571428566</v>
      </c>
      <c r="NW47" s="181"/>
      <c r="NX47" s="157"/>
      <c r="NY47" s="157"/>
      <c r="NZ47" s="157"/>
      <c r="OA47" s="157"/>
      <c r="OB47" s="157"/>
    </row>
    <row r="48" spans="1:392" ht="13" x14ac:dyDescent="0.3">
      <c r="A48" s="154">
        <v>41.974885844748862</v>
      </c>
      <c r="B48" s="154">
        <v>2.5</v>
      </c>
      <c r="C48" s="154">
        <f t="shared" si="241"/>
        <v>2.5</v>
      </c>
      <c r="D48" s="154">
        <v>22112.999999999978</v>
      </c>
      <c r="E48" s="200">
        <f t="shared" si="242"/>
        <v>48.814569536423768</v>
      </c>
      <c r="F48" s="181">
        <f t="shared" si="54"/>
        <v>1631.7</v>
      </c>
      <c r="G48" s="161">
        <f t="shared" si="258"/>
        <v>453.00000000000023</v>
      </c>
      <c r="H48" s="154">
        <f t="shared" si="55"/>
        <v>1.6317000000000002</v>
      </c>
      <c r="I48" s="161">
        <f t="shared" si="56"/>
        <v>8380.5000000000036</v>
      </c>
      <c r="J48" s="181">
        <f t="shared" si="57"/>
        <v>21</v>
      </c>
      <c r="K48" s="181">
        <f t="shared" si="58"/>
        <v>13.584745762711865</v>
      </c>
      <c r="L48" s="181">
        <f t="shared" si="59"/>
        <v>7.290193704600485</v>
      </c>
      <c r="M48" s="181">
        <f t="shared" si="60"/>
        <v>2.5</v>
      </c>
      <c r="N48" s="181">
        <f t="shared" si="61"/>
        <v>9.5071428571428562</v>
      </c>
      <c r="O48" s="181">
        <f t="shared" si="62"/>
        <v>9.5071428571428562</v>
      </c>
      <c r="P48" s="181">
        <f t="shared" si="63"/>
        <v>15</v>
      </c>
      <c r="Q48" s="181">
        <f t="shared" si="64"/>
        <v>15.010287511230906</v>
      </c>
      <c r="R48" s="168">
        <f t="shared" si="65"/>
        <v>396.37500000000023</v>
      </c>
      <c r="S48" s="161">
        <f t="shared" si="66"/>
        <v>1238.6559525461491</v>
      </c>
      <c r="T48" s="161">
        <f t="shared" si="67"/>
        <v>58.90012492461446</v>
      </c>
      <c r="U48" s="161">
        <f t="shared" si="68"/>
        <v>45.492764954327846</v>
      </c>
      <c r="V48" s="154">
        <f t="shared" si="69"/>
        <v>0.34934571428571431</v>
      </c>
      <c r="W48" s="154">
        <f t="shared" si="70"/>
        <v>1.4136855653809643</v>
      </c>
      <c r="X48" s="154">
        <f t="shared" si="71"/>
        <v>2.7343398510952506</v>
      </c>
      <c r="Y48" s="154">
        <f t="shared" si="72"/>
        <v>3.5870479452054793</v>
      </c>
      <c r="Z48" s="154">
        <f t="shared" si="73"/>
        <v>1.3097999999999999</v>
      </c>
      <c r="AA48" s="154">
        <f t="shared" si="74"/>
        <v>0.85270809411022896</v>
      </c>
      <c r="AB48" s="154">
        <f t="shared" si="26"/>
        <v>2.2886855653809648</v>
      </c>
      <c r="AC48" s="154">
        <f t="shared" si="27"/>
        <v>0.64554794520547942</v>
      </c>
      <c r="AD48" s="154">
        <f t="shared" si="28"/>
        <v>0.35</v>
      </c>
      <c r="AE48" s="154">
        <f t="shared" si="29"/>
        <v>0.52500000000000002</v>
      </c>
      <c r="AF48" s="154">
        <f t="shared" si="30"/>
        <v>0.875</v>
      </c>
      <c r="AG48" s="154">
        <f t="shared" si="75"/>
        <v>0.44565428571428567</v>
      </c>
      <c r="AH48" s="154">
        <f t="shared" si="76"/>
        <v>1.3206542857142858</v>
      </c>
      <c r="AI48" s="154">
        <f t="shared" si="77"/>
        <v>0.58732876712328763</v>
      </c>
      <c r="AJ48" s="154">
        <f t="shared" si="78"/>
        <v>5.8219178082191785E-2</v>
      </c>
      <c r="AK48" s="154">
        <f t="shared" si="79"/>
        <v>0</v>
      </c>
      <c r="AL48" s="161">
        <f t="shared" si="80"/>
        <v>587.32876712328766</v>
      </c>
      <c r="AM48" s="161">
        <f t="shared" si="81"/>
        <v>58.219178082191782</v>
      </c>
      <c r="AN48" s="161">
        <f t="shared" si="82"/>
        <v>0</v>
      </c>
      <c r="AO48" s="161"/>
      <c r="AP48" s="154">
        <f t="shared" si="83"/>
        <v>0.64554794520547942</v>
      </c>
      <c r="AQ48" s="154">
        <f t="shared" si="84"/>
        <v>0.64554794520547942</v>
      </c>
      <c r="AR48" s="154">
        <f t="shared" si="85"/>
        <v>1.6700000000000002</v>
      </c>
      <c r="AS48" s="161"/>
      <c r="AT48" s="161"/>
      <c r="AU48" s="161"/>
      <c r="AV48" s="161"/>
      <c r="AW48" s="181"/>
      <c r="AX48" s="181"/>
      <c r="AY48" s="181"/>
      <c r="AZ48" s="181"/>
      <c r="BA48" s="181"/>
      <c r="BB48" s="161"/>
      <c r="BC48" s="161"/>
      <c r="BD48" s="161"/>
      <c r="BE48" s="181"/>
      <c r="BF48" s="168"/>
      <c r="BG48" s="181"/>
      <c r="BH48" s="168"/>
      <c r="BI48" s="168"/>
      <c r="BJ48" s="161"/>
      <c r="BK48" s="168"/>
      <c r="BL48" s="168"/>
      <c r="BM48" s="168"/>
      <c r="BN48" s="168"/>
      <c r="BO48" s="168">
        <f t="shared" si="86"/>
        <v>266.05993150684941</v>
      </c>
      <c r="BP48" s="168">
        <f t="shared" si="87"/>
        <v>26.373287671232891</v>
      </c>
      <c r="BQ48" s="168">
        <f t="shared" si="88"/>
        <v>0</v>
      </c>
      <c r="BR48" s="181"/>
      <c r="BS48" s="161"/>
      <c r="BT48" s="168"/>
      <c r="BU48" s="161"/>
      <c r="BV48" s="161"/>
      <c r="BW48" s="161"/>
      <c r="BX48" s="161"/>
      <c r="CB48" s="181">
        <f t="shared" si="89"/>
        <v>44.763033450162261</v>
      </c>
      <c r="CC48" s="181">
        <f t="shared" si="89"/>
        <v>0</v>
      </c>
      <c r="CD48" s="181">
        <f t="shared" si="89"/>
        <v>52.319594681136174</v>
      </c>
      <c r="CE48" s="181">
        <f t="shared" si="89"/>
        <v>0</v>
      </c>
      <c r="CF48" s="181">
        <f t="shared" si="89"/>
        <v>174.03747967076038</v>
      </c>
      <c r="CG48" s="181">
        <f t="shared" si="89"/>
        <v>0</v>
      </c>
      <c r="CH48" s="181">
        <f t="shared" si="89"/>
        <v>52.387986308170341</v>
      </c>
      <c r="CI48" s="181">
        <f t="shared" si="89"/>
        <v>0</v>
      </c>
      <c r="CJ48" s="182">
        <f t="shared" si="90"/>
        <v>323.50809411022914</v>
      </c>
      <c r="CK48" s="161">
        <f t="shared" si="91"/>
        <v>323.50809411022914</v>
      </c>
      <c r="CL48" s="161">
        <f t="shared" si="243"/>
        <v>529.19999999999993</v>
      </c>
      <c r="CM48" s="182">
        <f t="shared" si="92"/>
        <v>852.70809411022901</v>
      </c>
      <c r="CN48" s="157">
        <f t="shared" si="93"/>
        <v>146.54916663193387</v>
      </c>
      <c r="CO48" s="162">
        <f t="shared" si="94"/>
        <v>852.70809411022901</v>
      </c>
      <c r="FT48" s="168">
        <f t="shared" si="244"/>
        <v>2.5</v>
      </c>
      <c r="FU48" s="161">
        <f t="shared" si="245"/>
        <v>350</v>
      </c>
      <c r="FV48" s="161">
        <f t="shared" si="33"/>
        <v>525</v>
      </c>
      <c r="FW48" s="161">
        <f t="shared" si="95"/>
        <v>875</v>
      </c>
      <c r="FX48" s="161">
        <v>453.00000000000023</v>
      </c>
      <c r="FY48" s="168">
        <f t="shared" si="96"/>
        <v>2.5</v>
      </c>
      <c r="FZ48" s="161">
        <v>350</v>
      </c>
      <c r="GA48" s="161">
        <v>525</v>
      </c>
      <c r="GB48" s="161">
        <v>875</v>
      </c>
      <c r="GC48" s="168">
        <f t="shared" si="246"/>
        <v>0.56785714285714284</v>
      </c>
      <c r="GD48" s="154">
        <f t="shared" si="97"/>
        <v>21</v>
      </c>
      <c r="GE48" s="181">
        <f t="shared" si="98"/>
        <v>13.584745762711865</v>
      </c>
      <c r="GF48" s="181">
        <f t="shared" si="34"/>
        <v>7.290193704600485</v>
      </c>
      <c r="GG48" s="154">
        <f t="shared" si="99"/>
        <v>2.5</v>
      </c>
      <c r="GH48" s="181">
        <f t="shared" si="100"/>
        <v>9.5071428571428562</v>
      </c>
      <c r="GI48" s="181">
        <f t="shared" si="101"/>
        <v>23.265004492362984</v>
      </c>
      <c r="GJ48" s="181">
        <f t="shared" si="102"/>
        <v>23.265004492362984</v>
      </c>
      <c r="GK48" s="181">
        <f t="shared" si="103"/>
        <v>2.5</v>
      </c>
      <c r="GL48" s="157">
        <f t="shared" si="104"/>
        <v>445.65428571428566</v>
      </c>
      <c r="GM48" s="157">
        <f t="shared" si="105"/>
        <v>1309.8</v>
      </c>
      <c r="GN48" s="157">
        <f t="shared" si="106"/>
        <v>0</v>
      </c>
      <c r="GO48" s="157">
        <f t="shared" si="107"/>
        <v>864.14571428571435</v>
      </c>
      <c r="GP48" s="157">
        <f t="shared" si="108"/>
        <v>1631.7</v>
      </c>
      <c r="GQ48" s="157">
        <f t="shared" si="109"/>
        <v>852.70809411022901</v>
      </c>
      <c r="GR48" s="157">
        <f t="shared" si="110"/>
        <v>2495.8457142857142</v>
      </c>
      <c r="GS48" s="200">
        <f t="shared" si="111"/>
        <v>1</v>
      </c>
      <c r="GT48" s="157">
        <f t="shared" si="112"/>
        <v>852.70809411022901</v>
      </c>
      <c r="GU48" s="157">
        <f t="shared" si="113"/>
        <v>645.54794520547944</v>
      </c>
      <c r="GV48" s="162">
        <f t="shared" si="114"/>
        <v>2288.6855653809648</v>
      </c>
      <c r="GW48" s="157">
        <f t="shared" si="115"/>
        <v>875</v>
      </c>
      <c r="GX48" s="157">
        <f t="shared" si="247"/>
        <v>525</v>
      </c>
      <c r="GY48" s="207">
        <f t="shared" si="35"/>
        <v>350</v>
      </c>
      <c r="GZ48" s="207">
        <f t="shared" si="116"/>
        <v>350</v>
      </c>
      <c r="HA48" s="157">
        <f t="shared" si="117"/>
        <v>350</v>
      </c>
      <c r="HB48" s="157">
        <f t="shared" si="36"/>
        <v>525</v>
      </c>
      <c r="HC48" s="157">
        <f t="shared" si="37"/>
        <v>875</v>
      </c>
      <c r="HD48" s="168">
        <f t="shared" si="38"/>
        <v>158.55000000000007</v>
      </c>
      <c r="HE48" s="168">
        <f t="shared" si="118"/>
        <v>237.82500000000013</v>
      </c>
      <c r="HF48" s="168">
        <f t="shared" si="39"/>
        <v>396.37500000000023</v>
      </c>
      <c r="HG48" s="157">
        <f t="shared" si="119"/>
        <v>1413.6855653809648</v>
      </c>
      <c r="HH48" s="168">
        <f t="shared" si="120"/>
        <v>0</v>
      </c>
      <c r="HI48" s="168">
        <f t="shared" si="121"/>
        <v>386.27676663193392</v>
      </c>
      <c r="HJ48" s="168">
        <f t="shared" si="122"/>
        <v>1036.7745611175776</v>
      </c>
      <c r="HK48" s="168">
        <f t="shared" si="123"/>
        <v>640.39956111757738</v>
      </c>
      <c r="HL48" s="168">
        <f t="shared" si="124"/>
        <v>1624.9327191780831</v>
      </c>
      <c r="HM48" s="157">
        <f t="shared" si="125"/>
        <v>875</v>
      </c>
      <c r="HN48" s="168">
        <f t="shared" si="126"/>
        <v>237.82500000000013</v>
      </c>
      <c r="HP48" s="168">
        <f t="shared" si="127"/>
        <v>593.33940000000018</v>
      </c>
      <c r="HQ48" s="168">
        <f t="shared" si="128"/>
        <v>391.45800857142876</v>
      </c>
      <c r="HR48" s="181"/>
      <c r="HU48" s="168">
        <f t="shared" si="287"/>
        <v>2.5</v>
      </c>
      <c r="HV48" s="161">
        <f t="shared" si="287"/>
        <v>350</v>
      </c>
      <c r="HW48" s="161">
        <f t="shared" si="40"/>
        <v>525</v>
      </c>
      <c r="HX48" s="161">
        <f t="shared" si="41"/>
        <v>875</v>
      </c>
      <c r="HY48" s="161">
        <v>453.00000000000023</v>
      </c>
      <c r="HZ48" s="168">
        <f t="shared" si="129"/>
        <v>2.5</v>
      </c>
      <c r="IA48" s="161">
        <v>350</v>
      </c>
      <c r="IB48" s="161">
        <v>525</v>
      </c>
      <c r="IC48" s="161">
        <v>875</v>
      </c>
      <c r="ID48" s="168">
        <f t="shared" si="288"/>
        <v>0.56785714285714284</v>
      </c>
      <c r="IE48" s="154">
        <f t="shared" si="130"/>
        <v>21</v>
      </c>
      <c r="IF48" s="154">
        <f t="shared" si="131"/>
        <v>2.5</v>
      </c>
      <c r="IG48" s="181">
        <f t="shared" si="132"/>
        <v>10.494642857142857</v>
      </c>
      <c r="IH48" s="181">
        <f t="shared" si="133"/>
        <v>14.194642857142856</v>
      </c>
      <c r="II48" s="181">
        <f t="shared" si="134"/>
        <v>3.0793886198547211</v>
      </c>
      <c r="IJ48" s="181">
        <f t="shared" si="135"/>
        <v>27.952504492362984</v>
      </c>
      <c r="IK48" s="181">
        <f t="shared" si="136"/>
        <v>27.952504492362984</v>
      </c>
      <c r="IL48" s="181">
        <f t="shared" si="250"/>
        <v>0</v>
      </c>
      <c r="IM48" s="181">
        <f t="shared" si="137"/>
        <v>2.5</v>
      </c>
      <c r="IN48" s="157">
        <f t="shared" si="138"/>
        <v>743.77928571428572</v>
      </c>
      <c r="IO48" s="157">
        <f t="shared" si="139"/>
        <v>1309.8</v>
      </c>
      <c r="IP48" s="157">
        <f t="shared" si="42"/>
        <v>0</v>
      </c>
      <c r="IQ48" s="157">
        <f t="shared" si="43"/>
        <v>566.02071428571423</v>
      </c>
      <c r="IR48" s="157">
        <f t="shared" si="140"/>
        <v>1631.7</v>
      </c>
      <c r="IS48" s="157">
        <f t="shared" si="141"/>
        <v>852.70809411022901</v>
      </c>
      <c r="IT48" s="157">
        <f t="shared" si="142"/>
        <v>2197.7207142857142</v>
      </c>
      <c r="IU48" s="200">
        <f t="shared" si="143"/>
        <v>1</v>
      </c>
      <c r="IV48" s="157">
        <f t="shared" si="144"/>
        <v>852.70809411022901</v>
      </c>
      <c r="IW48" s="157">
        <f t="shared" si="145"/>
        <v>645.54794520547944</v>
      </c>
      <c r="IX48" s="162">
        <f t="shared" si="146"/>
        <v>1990.5605653809648</v>
      </c>
      <c r="IY48" s="157">
        <f t="shared" si="22"/>
        <v>875</v>
      </c>
      <c r="IZ48" s="157">
        <f t="shared" si="147"/>
        <v>525</v>
      </c>
      <c r="JA48" s="207">
        <f t="shared" si="148"/>
        <v>350</v>
      </c>
      <c r="JB48" s="207">
        <f t="shared" si="149"/>
        <v>350</v>
      </c>
      <c r="JC48" s="157">
        <f t="shared" si="150"/>
        <v>350</v>
      </c>
      <c r="JD48" s="157">
        <f t="shared" si="151"/>
        <v>525</v>
      </c>
      <c r="JE48" s="157">
        <f t="shared" si="152"/>
        <v>875</v>
      </c>
      <c r="JF48" s="168">
        <f t="shared" si="153"/>
        <v>158.55000000000007</v>
      </c>
      <c r="JG48" s="168">
        <f t="shared" si="154"/>
        <v>237.82500000000013</v>
      </c>
      <c r="JH48" s="168">
        <f t="shared" si="155"/>
        <v>396.37500000000023</v>
      </c>
      <c r="JI48" s="157">
        <f t="shared" si="156"/>
        <v>1115.5605653809648</v>
      </c>
      <c r="JJ48" s="168">
        <f t="shared" si="157"/>
        <v>0</v>
      </c>
      <c r="JK48" s="168">
        <f t="shared" si="158"/>
        <v>386.27676663193392</v>
      </c>
      <c r="JL48" s="168">
        <f t="shared" si="159"/>
        <v>901.72393611757752</v>
      </c>
      <c r="JM48" s="168">
        <f t="shared" si="160"/>
        <v>505.3489361175773</v>
      </c>
      <c r="JN48" s="168">
        <f t="shared" si="161"/>
        <v>1624.9327191780831</v>
      </c>
      <c r="JO48" s="157">
        <f t="shared" si="162"/>
        <v>51.220714285714166</v>
      </c>
      <c r="JP48" s="168">
        <f t="shared" si="163"/>
        <v>237.82500000000013</v>
      </c>
      <c r="JR48" s="168">
        <f t="shared" si="164"/>
        <v>593.33940000000018</v>
      </c>
      <c r="JS48" s="168">
        <f t="shared" si="165"/>
        <v>256.40738357142868</v>
      </c>
      <c r="JT48" s="181"/>
      <c r="JW48" s="168">
        <f t="shared" ref="JW48:JX48" si="303">JW47</f>
        <v>2.5</v>
      </c>
      <c r="JX48" s="161">
        <f t="shared" si="303"/>
        <v>350</v>
      </c>
      <c r="JY48" s="161">
        <f t="shared" si="44"/>
        <v>525</v>
      </c>
      <c r="JZ48" s="161">
        <f t="shared" si="45"/>
        <v>875</v>
      </c>
      <c r="KA48" s="161">
        <v>453.00000000000023</v>
      </c>
      <c r="KB48" s="168">
        <f t="shared" si="166"/>
        <v>2.5</v>
      </c>
      <c r="KC48" s="161">
        <v>350</v>
      </c>
      <c r="KD48" s="161">
        <v>525</v>
      </c>
      <c r="KE48" s="161">
        <v>875</v>
      </c>
      <c r="KF48" s="168">
        <f t="shared" ref="KF48" si="304">KF47</f>
        <v>0.56785714285714284</v>
      </c>
      <c r="KG48" s="154">
        <f t="shared" si="167"/>
        <v>21</v>
      </c>
      <c r="KH48" s="154">
        <f t="shared" si="168"/>
        <v>2.5</v>
      </c>
      <c r="KI48" s="181">
        <f t="shared" si="169"/>
        <v>10.494642857142857</v>
      </c>
      <c r="KJ48" s="181">
        <f t="shared" si="170"/>
        <v>14.194642857142856</v>
      </c>
      <c r="KK48" s="181">
        <f t="shared" si="171"/>
        <v>3.0793886198547211</v>
      </c>
      <c r="KL48" s="181">
        <f t="shared" si="172"/>
        <v>14.194642857142856</v>
      </c>
      <c r="KM48" s="181">
        <f t="shared" si="173"/>
        <v>15</v>
      </c>
      <c r="KN48" s="181">
        <f t="shared" si="253"/>
        <v>0</v>
      </c>
      <c r="KO48" s="181">
        <f t="shared" si="174"/>
        <v>2.5</v>
      </c>
      <c r="KP48" s="157">
        <f t="shared" si="175"/>
        <v>743.77928571428572</v>
      </c>
      <c r="KQ48" s="157">
        <f t="shared" si="46"/>
        <v>1309.8</v>
      </c>
      <c r="KR48" s="157">
        <f t="shared" si="176"/>
        <v>51.220714285714337</v>
      </c>
      <c r="KS48" s="157">
        <f t="shared" si="177"/>
        <v>514.79999999999995</v>
      </c>
      <c r="KT48" s="157">
        <f t="shared" si="178"/>
        <v>1631.7</v>
      </c>
      <c r="KU48" s="157">
        <f t="shared" si="179"/>
        <v>852.70809411022901</v>
      </c>
      <c r="KV48" s="157">
        <f t="shared" si="180"/>
        <v>2146.5</v>
      </c>
      <c r="KW48" s="200">
        <f t="shared" si="181"/>
        <v>1</v>
      </c>
      <c r="KX48" s="157">
        <f t="shared" si="182"/>
        <v>852.70809411022901</v>
      </c>
      <c r="KY48" s="157">
        <f t="shared" si="183"/>
        <v>645.54794520547944</v>
      </c>
      <c r="KZ48" s="162">
        <f t="shared" si="47"/>
        <v>1990.5605653809648</v>
      </c>
      <c r="LA48" s="157">
        <f t="shared" si="184"/>
        <v>875</v>
      </c>
      <c r="LB48" s="157">
        <f t="shared" si="185"/>
        <v>525</v>
      </c>
      <c r="LC48" s="207">
        <f t="shared" si="186"/>
        <v>350</v>
      </c>
      <c r="LD48" s="207">
        <f t="shared" si="187"/>
        <v>350</v>
      </c>
      <c r="LE48" s="157">
        <f t="shared" si="188"/>
        <v>350</v>
      </c>
      <c r="LF48" s="157">
        <f t="shared" si="189"/>
        <v>525</v>
      </c>
      <c r="LG48" s="157">
        <f t="shared" si="190"/>
        <v>875</v>
      </c>
      <c r="LH48" s="168">
        <f t="shared" si="191"/>
        <v>158.55000000000007</v>
      </c>
      <c r="LI48" s="168">
        <f t="shared" si="192"/>
        <v>237.82500000000013</v>
      </c>
      <c r="LJ48" s="168">
        <f t="shared" si="193"/>
        <v>396.37500000000023</v>
      </c>
      <c r="LK48" s="157">
        <f t="shared" si="194"/>
        <v>1115.5605653809648</v>
      </c>
      <c r="LL48" s="168">
        <f t="shared" si="195"/>
        <v>23.202983571428604</v>
      </c>
      <c r="LM48" s="168">
        <f t="shared" si="196"/>
        <v>386.27676663193392</v>
      </c>
      <c r="LN48" s="168">
        <f t="shared" si="197"/>
        <v>901.72393611757752</v>
      </c>
      <c r="LO48" s="168">
        <f t="shared" si="198"/>
        <v>505.3489361175773</v>
      </c>
      <c r="LP48" s="168">
        <f t="shared" si="199"/>
        <v>1624.9327191780831</v>
      </c>
      <c r="LQ48" s="157">
        <f t="shared" si="200"/>
        <v>51.220714285714166</v>
      </c>
      <c r="LR48" s="168">
        <f t="shared" si="201"/>
        <v>237.82500000000013</v>
      </c>
      <c r="LT48" s="168">
        <f t="shared" si="202"/>
        <v>593.33940000000018</v>
      </c>
      <c r="LU48" s="168">
        <f t="shared" si="203"/>
        <v>256.40738357142868</v>
      </c>
      <c r="LV48" s="181"/>
      <c r="LY48" s="168">
        <f t="shared" si="291"/>
        <v>2.5</v>
      </c>
      <c r="LZ48" s="161">
        <f t="shared" si="291"/>
        <v>350</v>
      </c>
      <c r="MA48" s="161">
        <f t="shared" si="48"/>
        <v>525</v>
      </c>
      <c r="MB48" s="161">
        <f t="shared" si="49"/>
        <v>875</v>
      </c>
      <c r="MC48" s="161">
        <v>453.00000000000023</v>
      </c>
      <c r="MD48" s="168">
        <f t="shared" si="204"/>
        <v>2.5</v>
      </c>
      <c r="ME48" s="161">
        <v>350</v>
      </c>
      <c r="MF48" s="161">
        <v>525</v>
      </c>
      <c r="MG48" s="161">
        <v>875</v>
      </c>
      <c r="MH48" s="168">
        <f t="shared" si="292"/>
        <v>0.56785714285714284</v>
      </c>
      <c r="MI48" s="154">
        <f t="shared" si="205"/>
        <v>21</v>
      </c>
      <c r="MJ48" s="181">
        <f t="shared" si="206"/>
        <v>13.584745762711865</v>
      </c>
      <c r="MK48" s="181">
        <f t="shared" si="207"/>
        <v>7.290193704600485</v>
      </c>
      <c r="ML48" s="154">
        <f t="shared" si="208"/>
        <v>2.5</v>
      </c>
      <c r="MM48" s="181">
        <f t="shared" si="209"/>
        <v>9.5071428571428562</v>
      </c>
      <c r="MN48" s="181">
        <f t="shared" si="210"/>
        <v>9.5071428571428562</v>
      </c>
      <c r="MO48" s="181">
        <f t="shared" si="211"/>
        <v>15</v>
      </c>
      <c r="MP48" s="181">
        <f t="shared" si="212"/>
        <v>2.5</v>
      </c>
      <c r="MQ48" s="157">
        <f t="shared" si="50"/>
        <v>445.65428571428566</v>
      </c>
      <c r="MR48" s="157">
        <f t="shared" si="213"/>
        <v>1309.8</v>
      </c>
      <c r="MS48" s="157">
        <f t="shared" si="214"/>
        <v>349.34571428571434</v>
      </c>
      <c r="MT48" s="157">
        <f t="shared" si="215"/>
        <v>514.79999999999995</v>
      </c>
      <c r="MU48" s="157">
        <f t="shared" si="216"/>
        <v>1631.7</v>
      </c>
      <c r="MV48" s="157">
        <f t="shared" si="217"/>
        <v>852.70809411022901</v>
      </c>
      <c r="MW48" s="157">
        <f t="shared" si="218"/>
        <v>2146.5</v>
      </c>
      <c r="MX48" s="200">
        <f t="shared" si="219"/>
        <v>1</v>
      </c>
      <c r="MY48" s="157">
        <f t="shared" si="220"/>
        <v>852.70809411022901</v>
      </c>
      <c r="MZ48" s="157">
        <f t="shared" si="221"/>
        <v>645.54794520547944</v>
      </c>
      <c r="NA48" s="162">
        <f t="shared" si="222"/>
        <v>2288.6855653809648</v>
      </c>
      <c r="NB48" s="157">
        <f t="shared" si="223"/>
        <v>875</v>
      </c>
      <c r="NC48" s="157">
        <f t="shared" si="224"/>
        <v>525</v>
      </c>
      <c r="ND48" s="207">
        <f t="shared" si="51"/>
        <v>350</v>
      </c>
      <c r="NE48" s="207">
        <f t="shared" si="225"/>
        <v>350</v>
      </c>
      <c r="NF48" s="157">
        <f t="shared" si="226"/>
        <v>350</v>
      </c>
      <c r="NG48" s="157">
        <f t="shared" si="52"/>
        <v>525</v>
      </c>
      <c r="NH48" s="157">
        <f t="shared" si="53"/>
        <v>875</v>
      </c>
      <c r="NI48" s="168">
        <f t="shared" si="227"/>
        <v>158.55000000000007</v>
      </c>
      <c r="NJ48" s="168">
        <f t="shared" si="228"/>
        <v>237.82500000000013</v>
      </c>
      <c r="NK48" s="168">
        <f t="shared" si="229"/>
        <v>396.37500000000023</v>
      </c>
      <c r="NL48" s="157">
        <f t="shared" si="230"/>
        <v>1413.6855653809648</v>
      </c>
      <c r="NM48" s="168">
        <f t="shared" si="231"/>
        <v>158.25360857142866</v>
      </c>
      <c r="NN48" s="168">
        <f t="shared" si="232"/>
        <v>386.27676663193392</v>
      </c>
      <c r="NO48" s="168">
        <f t="shared" si="233"/>
        <v>1036.7745611175776</v>
      </c>
      <c r="NP48" s="168">
        <f t="shared" si="234"/>
        <v>640.39956111757738</v>
      </c>
      <c r="NQ48" s="168">
        <f t="shared" si="235"/>
        <v>1624.9327191780831</v>
      </c>
      <c r="NR48" s="157">
        <f t="shared" si="236"/>
        <v>349.34571428571422</v>
      </c>
      <c r="NS48" s="168">
        <f t="shared" si="237"/>
        <v>237.82500000000013</v>
      </c>
      <c r="NT48" s="157">
        <f t="shared" si="238"/>
        <v>3587.0479452054797</v>
      </c>
      <c r="NU48" s="168">
        <f t="shared" si="239"/>
        <v>593.33940000000018</v>
      </c>
      <c r="NV48" s="168">
        <f t="shared" si="240"/>
        <v>391.45800857142876</v>
      </c>
      <c r="NW48" s="181"/>
      <c r="NX48" s="157"/>
      <c r="NY48" s="157"/>
      <c r="NZ48" s="157"/>
      <c r="OA48" s="157"/>
      <c r="OB48" s="157"/>
    </row>
    <row r="49" spans="1:392" ht="12.75" customHeight="1" x14ac:dyDescent="0.3">
      <c r="A49" s="154">
        <v>45.856164383561641</v>
      </c>
      <c r="B49" s="154">
        <v>3.5</v>
      </c>
      <c r="C49" s="154">
        <f t="shared" si="241"/>
        <v>3.5</v>
      </c>
      <c r="D49" s="154">
        <v>18564.999999999982</v>
      </c>
      <c r="E49" s="200">
        <f t="shared" si="242"/>
        <v>54.602941176470615</v>
      </c>
      <c r="F49" s="181">
        <f t="shared" si="54"/>
        <v>1543.5</v>
      </c>
      <c r="G49" s="161">
        <f t="shared" si="258"/>
        <v>339.99999999999949</v>
      </c>
      <c r="H49" s="154">
        <f t="shared" si="55"/>
        <v>1.5435000000000001</v>
      </c>
      <c r="I49" s="161">
        <f t="shared" si="56"/>
        <v>5949.9999999999909</v>
      </c>
      <c r="J49" s="181">
        <f t="shared" si="57"/>
        <v>21</v>
      </c>
      <c r="K49" s="181">
        <f t="shared" si="58"/>
        <v>13.584745762711865</v>
      </c>
      <c r="L49" s="181">
        <f t="shared" si="59"/>
        <v>7.8580508474576272</v>
      </c>
      <c r="M49" s="181">
        <f t="shared" si="60"/>
        <v>3.5</v>
      </c>
      <c r="N49" s="181">
        <f t="shared" si="61"/>
        <v>9.875</v>
      </c>
      <c r="O49" s="181">
        <f t="shared" si="62"/>
        <v>9.875</v>
      </c>
      <c r="P49" s="181">
        <f t="shared" si="63"/>
        <v>15</v>
      </c>
      <c r="Q49" s="181">
        <f t="shared" si="64"/>
        <v>15.37814465408805</v>
      </c>
      <c r="R49" s="168">
        <f t="shared" si="65"/>
        <v>297.49999999999955</v>
      </c>
      <c r="S49" s="161">
        <f t="shared" si="66"/>
        <v>862.57274407226055</v>
      </c>
      <c r="T49" s="161">
        <f t="shared" si="67"/>
        <v>57.400124924614467</v>
      </c>
      <c r="U49" s="161">
        <f t="shared" si="68"/>
        <v>43.389601557170828</v>
      </c>
      <c r="V49" s="154">
        <f t="shared" si="69"/>
        <v>0.32594999999999996</v>
      </c>
      <c r="W49" s="154">
        <f t="shared" si="70"/>
        <v>1.2565286590360643</v>
      </c>
      <c r="X49" s="154">
        <f t="shared" si="71"/>
        <v>2.5369786590360643</v>
      </c>
      <c r="Y49" s="154">
        <f t="shared" si="72"/>
        <v>3.4280479452054795</v>
      </c>
      <c r="Z49" s="154">
        <f t="shared" si="73"/>
        <v>1.2390000000000001</v>
      </c>
      <c r="AA49" s="154">
        <f t="shared" si="74"/>
        <v>0.89106928616941539</v>
      </c>
      <c r="AB49" s="154">
        <f t="shared" si="26"/>
        <v>2.1315286590360647</v>
      </c>
      <c r="AC49" s="154">
        <f t="shared" si="27"/>
        <v>0.64554794520547942</v>
      </c>
      <c r="AD49" s="154">
        <f t="shared" si="28"/>
        <v>0.35</v>
      </c>
      <c r="AE49" s="154">
        <f t="shared" si="29"/>
        <v>0.52500000000000002</v>
      </c>
      <c r="AF49" s="154">
        <f t="shared" si="30"/>
        <v>0.875</v>
      </c>
      <c r="AG49" s="154">
        <f t="shared" si="75"/>
        <v>0.40545000000000003</v>
      </c>
      <c r="AH49" s="154">
        <f t="shared" si="76"/>
        <v>1.2804500000000001</v>
      </c>
      <c r="AI49" s="154">
        <f t="shared" si="77"/>
        <v>0.58732876712328763</v>
      </c>
      <c r="AJ49" s="154">
        <f t="shared" si="78"/>
        <v>5.8219178082191785E-2</v>
      </c>
      <c r="AK49" s="154">
        <f t="shared" si="79"/>
        <v>0</v>
      </c>
      <c r="AL49" s="161">
        <f t="shared" si="80"/>
        <v>587.32876712328766</v>
      </c>
      <c r="AM49" s="161">
        <f t="shared" si="81"/>
        <v>58.219178082191782</v>
      </c>
      <c r="AN49" s="161">
        <f t="shared" si="82"/>
        <v>0</v>
      </c>
      <c r="AO49" s="161"/>
      <c r="AP49" s="154">
        <f t="shared" si="83"/>
        <v>0.64554794520547942</v>
      </c>
      <c r="AQ49" s="154">
        <f t="shared" si="84"/>
        <v>0.64554794520547942</v>
      </c>
      <c r="AR49" s="154">
        <f t="shared" si="85"/>
        <v>1.6064000000000001</v>
      </c>
      <c r="AS49" s="161"/>
      <c r="AT49" s="161"/>
      <c r="AU49" s="161"/>
      <c r="AV49" s="161"/>
      <c r="AW49" s="181"/>
      <c r="AX49" s="181"/>
      <c r="AY49" s="181"/>
      <c r="AZ49" s="181"/>
      <c r="BA49" s="181"/>
      <c r="BB49" s="161"/>
      <c r="BC49" s="161"/>
      <c r="BD49" s="161"/>
      <c r="BE49" s="181"/>
      <c r="BF49" s="168"/>
      <c r="BG49" s="181"/>
      <c r="BH49" s="168"/>
      <c r="BI49" s="168"/>
      <c r="BJ49" s="161"/>
      <c r="BK49" s="168"/>
      <c r="BL49" s="168"/>
      <c r="BM49" s="168"/>
      <c r="BN49" s="168"/>
      <c r="BO49" s="168">
        <f t="shared" si="86"/>
        <v>199.69178082191749</v>
      </c>
      <c r="BP49" s="168">
        <f t="shared" si="87"/>
        <v>19.794520547945176</v>
      </c>
      <c r="BQ49" s="168">
        <f t="shared" si="88"/>
        <v>0</v>
      </c>
      <c r="BR49" s="181"/>
      <c r="BS49" s="161"/>
      <c r="BT49" s="168"/>
      <c r="BU49" s="161"/>
      <c r="BV49" s="161"/>
      <c r="BW49" s="161"/>
      <c r="BX49" s="161"/>
      <c r="CB49" s="181">
        <f t="shared" si="89"/>
        <v>50.070978922303574</v>
      </c>
      <c r="CC49" s="181">
        <f t="shared" si="89"/>
        <v>0</v>
      </c>
      <c r="CD49" s="181">
        <f t="shared" si="89"/>
        <v>58.523587893553241</v>
      </c>
      <c r="CE49" s="181">
        <f t="shared" si="89"/>
        <v>0</v>
      </c>
      <c r="CF49" s="181">
        <f t="shared" si="89"/>
        <v>194.6746300379223</v>
      </c>
      <c r="CG49" s="181">
        <f t="shared" si="89"/>
        <v>0</v>
      </c>
      <c r="CH49" s="181">
        <f t="shared" si="89"/>
        <v>58.600089315636332</v>
      </c>
      <c r="CI49" s="181">
        <f t="shared" si="89"/>
        <v>0</v>
      </c>
      <c r="CJ49" s="182">
        <f t="shared" si="90"/>
        <v>361.86928616941549</v>
      </c>
      <c r="CK49" s="161">
        <f t="shared" si="91"/>
        <v>361.86928616941549</v>
      </c>
      <c r="CL49" s="161">
        <f t="shared" si="243"/>
        <v>529.19999999999993</v>
      </c>
      <c r="CM49" s="182">
        <f t="shared" si="92"/>
        <v>891.06928616941536</v>
      </c>
      <c r="CN49" s="157">
        <f t="shared" si="93"/>
        <v>123.03555729760109</v>
      </c>
      <c r="CO49" s="162">
        <f t="shared" si="94"/>
        <v>891.06928616941536</v>
      </c>
      <c r="FT49" s="168">
        <f t="shared" si="244"/>
        <v>2.5</v>
      </c>
      <c r="FU49" s="161">
        <f t="shared" si="245"/>
        <v>350</v>
      </c>
      <c r="FV49" s="161">
        <f t="shared" si="33"/>
        <v>525</v>
      </c>
      <c r="FW49" s="161">
        <f t="shared" si="95"/>
        <v>875</v>
      </c>
      <c r="FX49" s="161">
        <v>339.99999999999949</v>
      </c>
      <c r="FY49" s="168">
        <f t="shared" si="96"/>
        <v>2.5</v>
      </c>
      <c r="FZ49" s="161">
        <v>350</v>
      </c>
      <c r="GA49" s="161">
        <v>525</v>
      </c>
      <c r="GB49" s="161">
        <v>875</v>
      </c>
      <c r="GC49" s="168">
        <f t="shared" si="246"/>
        <v>0.56785714285714284</v>
      </c>
      <c r="GD49" s="154">
        <f t="shared" si="97"/>
        <v>21</v>
      </c>
      <c r="GE49" s="181">
        <f t="shared" si="98"/>
        <v>13.584745762711865</v>
      </c>
      <c r="GF49" s="181">
        <f t="shared" si="34"/>
        <v>7.8580508474576272</v>
      </c>
      <c r="GG49" s="154">
        <f t="shared" si="99"/>
        <v>3.5</v>
      </c>
      <c r="GH49" s="181">
        <f t="shared" si="100"/>
        <v>9.875</v>
      </c>
      <c r="GI49" s="181">
        <f t="shared" si="101"/>
        <v>23.632861635220127</v>
      </c>
      <c r="GJ49" s="181">
        <f t="shared" si="102"/>
        <v>23.632861635220127</v>
      </c>
      <c r="GK49" s="181">
        <f t="shared" si="103"/>
        <v>3.5</v>
      </c>
      <c r="GL49" s="157">
        <f t="shared" si="104"/>
        <v>405.45000000000005</v>
      </c>
      <c r="GM49" s="157">
        <f t="shared" si="105"/>
        <v>1239</v>
      </c>
      <c r="GN49" s="157">
        <f t="shared" si="106"/>
        <v>0</v>
      </c>
      <c r="GO49" s="157">
        <f t="shared" si="107"/>
        <v>833.55</v>
      </c>
      <c r="GP49" s="157">
        <f t="shared" si="108"/>
        <v>1543.5</v>
      </c>
      <c r="GQ49" s="157">
        <f t="shared" si="109"/>
        <v>891.06928616941536</v>
      </c>
      <c r="GR49" s="157">
        <f t="shared" si="110"/>
        <v>2377.0500000000002</v>
      </c>
      <c r="GS49" s="200">
        <f t="shared" si="111"/>
        <v>1</v>
      </c>
      <c r="GT49" s="157">
        <f t="shared" si="112"/>
        <v>891.06928616941536</v>
      </c>
      <c r="GU49" s="157">
        <f t="shared" si="113"/>
        <v>645.54794520547944</v>
      </c>
      <c r="GV49" s="162">
        <f t="shared" si="114"/>
        <v>2131.5286590360647</v>
      </c>
      <c r="GW49" s="157">
        <f t="shared" si="115"/>
        <v>875</v>
      </c>
      <c r="GX49" s="157">
        <f t="shared" si="247"/>
        <v>525</v>
      </c>
      <c r="GY49" s="207">
        <f t="shared" si="35"/>
        <v>350</v>
      </c>
      <c r="GZ49" s="207">
        <f t="shared" si="116"/>
        <v>350</v>
      </c>
      <c r="HA49" s="157">
        <f t="shared" si="117"/>
        <v>350</v>
      </c>
      <c r="HB49" s="157">
        <f t="shared" si="36"/>
        <v>525</v>
      </c>
      <c r="HC49" s="157">
        <f t="shared" si="37"/>
        <v>875</v>
      </c>
      <c r="HD49" s="168">
        <f t="shared" si="38"/>
        <v>118.99999999999982</v>
      </c>
      <c r="HE49" s="168">
        <f t="shared" si="118"/>
        <v>178.49999999999974</v>
      </c>
      <c r="HF49" s="168">
        <f t="shared" si="39"/>
        <v>297.49999999999955</v>
      </c>
      <c r="HG49" s="157">
        <f t="shared" si="119"/>
        <v>1256.5286590360647</v>
      </c>
      <c r="HH49" s="168">
        <f t="shared" si="120"/>
        <v>0</v>
      </c>
      <c r="HI49" s="168">
        <f t="shared" si="121"/>
        <v>302.9635572976008</v>
      </c>
      <c r="HJ49" s="168">
        <f t="shared" si="122"/>
        <v>724.71974407226094</v>
      </c>
      <c r="HK49" s="168">
        <f t="shared" si="123"/>
        <v>427.21974407226134</v>
      </c>
      <c r="HL49" s="168">
        <f t="shared" si="124"/>
        <v>1165.5363013698613</v>
      </c>
      <c r="HM49" s="157">
        <f t="shared" si="125"/>
        <v>875</v>
      </c>
      <c r="HN49" s="168">
        <f t="shared" si="126"/>
        <v>178.49999999999974</v>
      </c>
      <c r="HP49" s="168">
        <f t="shared" si="127"/>
        <v>421.25999999999942</v>
      </c>
      <c r="HQ49" s="168">
        <f t="shared" si="128"/>
        <v>283.40699999999953</v>
      </c>
      <c r="HR49" s="181"/>
      <c r="HU49" s="168">
        <f t="shared" si="287"/>
        <v>2.5</v>
      </c>
      <c r="HV49" s="161">
        <f t="shared" si="287"/>
        <v>350</v>
      </c>
      <c r="HW49" s="161">
        <f t="shared" si="40"/>
        <v>525</v>
      </c>
      <c r="HX49" s="161">
        <f t="shared" si="41"/>
        <v>875</v>
      </c>
      <c r="HY49" s="161">
        <v>339.99999999999949</v>
      </c>
      <c r="HZ49" s="168">
        <f t="shared" si="129"/>
        <v>2.5</v>
      </c>
      <c r="IA49" s="161">
        <v>350</v>
      </c>
      <c r="IB49" s="161">
        <v>525</v>
      </c>
      <c r="IC49" s="161">
        <v>875</v>
      </c>
      <c r="ID49" s="168">
        <f t="shared" si="288"/>
        <v>0.56785714285714284</v>
      </c>
      <c r="IE49" s="154">
        <f t="shared" si="130"/>
        <v>21</v>
      </c>
      <c r="IF49" s="154">
        <f t="shared" si="131"/>
        <v>3.5</v>
      </c>
      <c r="IG49" s="181">
        <f t="shared" si="132"/>
        <v>11.0625</v>
      </c>
      <c r="IH49" s="181">
        <f t="shared" si="133"/>
        <v>14.5625</v>
      </c>
      <c r="II49" s="181">
        <f t="shared" si="134"/>
        <v>3.6472457627118642</v>
      </c>
      <c r="IJ49" s="181">
        <f t="shared" si="135"/>
        <v>28.320361635220127</v>
      </c>
      <c r="IK49" s="181">
        <f t="shared" si="136"/>
        <v>28.320361635220127</v>
      </c>
      <c r="IL49" s="181">
        <f t="shared" si="250"/>
        <v>0</v>
      </c>
      <c r="IM49" s="181">
        <f t="shared" si="137"/>
        <v>3.5</v>
      </c>
      <c r="IN49" s="157">
        <f t="shared" si="138"/>
        <v>703.57499999999993</v>
      </c>
      <c r="IO49" s="157">
        <f t="shared" si="139"/>
        <v>1239</v>
      </c>
      <c r="IP49" s="157">
        <f t="shared" si="42"/>
        <v>0</v>
      </c>
      <c r="IQ49" s="157">
        <f t="shared" si="43"/>
        <v>535.42500000000007</v>
      </c>
      <c r="IR49" s="157">
        <f t="shared" si="140"/>
        <v>1543.5</v>
      </c>
      <c r="IS49" s="157">
        <f t="shared" si="141"/>
        <v>891.06928616941536</v>
      </c>
      <c r="IT49" s="157">
        <f t="shared" si="142"/>
        <v>2078.9250000000002</v>
      </c>
      <c r="IU49" s="200">
        <f t="shared" si="143"/>
        <v>1</v>
      </c>
      <c r="IV49" s="157">
        <f t="shared" si="144"/>
        <v>891.06928616941536</v>
      </c>
      <c r="IW49" s="157">
        <f t="shared" si="145"/>
        <v>645.54794520547944</v>
      </c>
      <c r="IX49" s="162">
        <f t="shared" si="146"/>
        <v>1833.4036590360647</v>
      </c>
      <c r="IY49" s="157">
        <f t="shared" si="22"/>
        <v>875</v>
      </c>
      <c r="IZ49" s="157">
        <f t="shared" si="147"/>
        <v>525</v>
      </c>
      <c r="JA49" s="207">
        <f t="shared" si="148"/>
        <v>350</v>
      </c>
      <c r="JB49" s="207">
        <f t="shared" si="149"/>
        <v>350</v>
      </c>
      <c r="JC49" s="157">
        <f t="shared" si="150"/>
        <v>350</v>
      </c>
      <c r="JD49" s="157">
        <f t="shared" si="151"/>
        <v>525</v>
      </c>
      <c r="JE49" s="157">
        <f t="shared" si="152"/>
        <v>875</v>
      </c>
      <c r="JF49" s="168">
        <f t="shared" si="153"/>
        <v>118.99999999999982</v>
      </c>
      <c r="JG49" s="168">
        <f t="shared" si="154"/>
        <v>178.49999999999974</v>
      </c>
      <c r="JH49" s="168">
        <f t="shared" si="155"/>
        <v>297.49999999999955</v>
      </c>
      <c r="JI49" s="157">
        <f t="shared" si="156"/>
        <v>958.40365903606471</v>
      </c>
      <c r="JJ49" s="168">
        <f t="shared" si="157"/>
        <v>0</v>
      </c>
      <c r="JK49" s="168">
        <f t="shared" si="158"/>
        <v>302.9635572976008</v>
      </c>
      <c r="JL49" s="168">
        <f t="shared" si="159"/>
        <v>623.3572440722611</v>
      </c>
      <c r="JM49" s="168">
        <f t="shared" si="160"/>
        <v>325.85724407226149</v>
      </c>
      <c r="JN49" s="168">
        <f t="shared" si="161"/>
        <v>1165.5363013698613</v>
      </c>
      <c r="JO49" s="157">
        <f t="shared" si="162"/>
        <v>27.825000000000045</v>
      </c>
      <c r="JP49" s="168">
        <f t="shared" si="163"/>
        <v>178.49999999999974</v>
      </c>
      <c r="JR49" s="168">
        <f t="shared" si="164"/>
        <v>421.25999999999942</v>
      </c>
      <c r="JS49" s="168">
        <f t="shared" si="165"/>
        <v>182.04449999999974</v>
      </c>
      <c r="JT49" s="181"/>
      <c r="JW49" s="168">
        <f t="shared" ref="JW49:JX49" si="305">JW48</f>
        <v>2.5</v>
      </c>
      <c r="JX49" s="161">
        <f t="shared" si="305"/>
        <v>350</v>
      </c>
      <c r="JY49" s="161">
        <f t="shared" si="44"/>
        <v>525</v>
      </c>
      <c r="JZ49" s="161">
        <f t="shared" si="45"/>
        <v>875</v>
      </c>
      <c r="KA49" s="161">
        <v>339.99999999999949</v>
      </c>
      <c r="KB49" s="168">
        <f t="shared" si="166"/>
        <v>2.5</v>
      </c>
      <c r="KC49" s="161">
        <v>350</v>
      </c>
      <c r="KD49" s="161">
        <v>525</v>
      </c>
      <c r="KE49" s="161">
        <v>875</v>
      </c>
      <c r="KF49" s="168">
        <f t="shared" ref="KF49" si="306">KF48</f>
        <v>0.56785714285714284</v>
      </c>
      <c r="KG49" s="154">
        <f t="shared" si="167"/>
        <v>21</v>
      </c>
      <c r="KH49" s="154">
        <f t="shared" si="168"/>
        <v>3.5</v>
      </c>
      <c r="KI49" s="181">
        <f t="shared" si="169"/>
        <v>11.0625</v>
      </c>
      <c r="KJ49" s="181">
        <f t="shared" si="170"/>
        <v>14.5625</v>
      </c>
      <c r="KK49" s="181">
        <f t="shared" si="171"/>
        <v>3.6472457627118642</v>
      </c>
      <c r="KL49" s="181">
        <f t="shared" si="172"/>
        <v>14.5625</v>
      </c>
      <c r="KM49" s="181">
        <f t="shared" si="173"/>
        <v>15</v>
      </c>
      <c r="KN49" s="181">
        <f t="shared" si="253"/>
        <v>0</v>
      </c>
      <c r="KO49" s="181">
        <f t="shared" si="174"/>
        <v>3.5</v>
      </c>
      <c r="KP49" s="157">
        <f t="shared" si="175"/>
        <v>703.57499999999993</v>
      </c>
      <c r="KQ49" s="157">
        <f t="shared" si="46"/>
        <v>1239</v>
      </c>
      <c r="KR49" s="157">
        <f t="shared" si="176"/>
        <v>27.824999999999996</v>
      </c>
      <c r="KS49" s="157">
        <f t="shared" si="177"/>
        <v>507.60000000000008</v>
      </c>
      <c r="KT49" s="157">
        <f t="shared" si="178"/>
        <v>1543.5</v>
      </c>
      <c r="KU49" s="157">
        <f t="shared" si="179"/>
        <v>891.06928616941536</v>
      </c>
      <c r="KV49" s="157">
        <f t="shared" si="180"/>
        <v>2051.1</v>
      </c>
      <c r="KW49" s="200">
        <f t="shared" si="181"/>
        <v>1</v>
      </c>
      <c r="KX49" s="157">
        <f t="shared" si="182"/>
        <v>891.06928616941536</v>
      </c>
      <c r="KY49" s="157">
        <f t="shared" si="183"/>
        <v>645.54794520547944</v>
      </c>
      <c r="KZ49" s="162">
        <f t="shared" si="47"/>
        <v>1833.4036590360647</v>
      </c>
      <c r="LA49" s="157">
        <f t="shared" si="184"/>
        <v>875</v>
      </c>
      <c r="LB49" s="157">
        <f t="shared" si="185"/>
        <v>525</v>
      </c>
      <c r="LC49" s="207">
        <f t="shared" si="186"/>
        <v>350</v>
      </c>
      <c r="LD49" s="207">
        <f t="shared" si="187"/>
        <v>350</v>
      </c>
      <c r="LE49" s="157">
        <f t="shared" si="188"/>
        <v>350</v>
      </c>
      <c r="LF49" s="157">
        <f t="shared" si="189"/>
        <v>525</v>
      </c>
      <c r="LG49" s="157">
        <f t="shared" si="190"/>
        <v>875</v>
      </c>
      <c r="LH49" s="168">
        <f t="shared" si="191"/>
        <v>118.99999999999982</v>
      </c>
      <c r="LI49" s="168">
        <f t="shared" si="192"/>
        <v>178.49999999999974</v>
      </c>
      <c r="LJ49" s="168">
        <f t="shared" si="193"/>
        <v>297.49999999999955</v>
      </c>
      <c r="LK49" s="157">
        <f t="shared" si="194"/>
        <v>958.40365903606471</v>
      </c>
      <c r="LL49" s="168">
        <f t="shared" si="195"/>
        <v>9.4604999999999837</v>
      </c>
      <c r="LM49" s="168">
        <f t="shared" si="196"/>
        <v>302.9635572976008</v>
      </c>
      <c r="LN49" s="168">
        <f t="shared" si="197"/>
        <v>623.3572440722611</v>
      </c>
      <c r="LO49" s="168">
        <f t="shared" si="198"/>
        <v>325.85724407226149</v>
      </c>
      <c r="LP49" s="168">
        <f t="shared" si="199"/>
        <v>1165.5363013698613</v>
      </c>
      <c r="LQ49" s="157">
        <f t="shared" si="200"/>
        <v>27.825000000000045</v>
      </c>
      <c r="LR49" s="168">
        <f t="shared" si="201"/>
        <v>178.49999999999974</v>
      </c>
      <c r="LT49" s="168">
        <f t="shared" si="202"/>
        <v>421.25999999999942</v>
      </c>
      <c r="LU49" s="168">
        <f t="shared" si="203"/>
        <v>182.04449999999974</v>
      </c>
      <c r="LV49" s="181"/>
      <c r="LY49" s="168">
        <f t="shared" si="291"/>
        <v>2.5</v>
      </c>
      <c r="LZ49" s="161">
        <f t="shared" si="291"/>
        <v>350</v>
      </c>
      <c r="MA49" s="161">
        <f t="shared" si="48"/>
        <v>525</v>
      </c>
      <c r="MB49" s="161">
        <f t="shared" si="49"/>
        <v>875</v>
      </c>
      <c r="MC49" s="161">
        <v>339.99999999999949</v>
      </c>
      <c r="MD49" s="168">
        <f t="shared" si="204"/>
        <v>2.5</v>
      </c>
      <c r="ME49" s="161">
        <v>350</v>
      </c>
      <c r="MF49" s="161">
        <v>525</v>
      </c>
      <c r="MG49" s="161">
        <v>875</v>
      </c>
      <c r="MH49" s="168">
        <f t="shared" si="292"/>
        <v>0.56785714285714284</v>
      </c>
      <c r="MI49" s="154">
        <f t="shared" si="205"/>
        <v>21</v>
      </c>
      <c r="MJ49" s="181">
        <f t="shared" si="206"/>
        <v>13.584745762711865</v>
      </c>
      <c r="MK49" s="181">
        <f t="shared" si="207"/>
        <v>7.8580508474576272</v>
      </c>
      <c r="ML49" s="154">
        <f t="shared" si="208"/>
        <v>3.5</v>
      </c>
      <c r="MM49" s="181">
        <f t="shared" si="209"/>
        <v>9.875</v>
      </c>
      <c r="MN49" s="181">
        <f t="shared" si="210"/>
        <v>9.875</v>
      </c>
      <c r="MO49" s="181">
        <f t="shared" si="211"/>
        <v>15</v>
      </c>
      <c r="MP49" s="181">
        <f t="shared" si="212"/>
        <v>3.5</v>
      </c>
      <c r="MQ49" s="157">
        <f t="shared" si="50"/>
        <v>405.45000000000005</v>
      </c>
      <c r="MR49" s="157">
        <f t="shared" si="213"/>
        <v>1239</v>
      </c>
      <c r="MS49" s="157">
        <f t="shared" si="214"/>
        <v>325.95</v>
      </c>
      <c r="MT49" s="157">
        <f t="shared" si="215"/>
        <v>507.59999999999997</v>
      </c>
      <c r="MU49" s="157">
        <f t="shared" si="216"/>
        <v>1543.5</v>
      </c>
      <c r="MV49" s="157">
        <f t="shared" si="217"/>
        <v>891.06928616941536</v>
      </c>
      <c r="MW49" s="157">
        <f t="shared" si="218"/>
        <v>2051.1</v>
      </c>
      <c r="MX49" s="200">
        <f t="shared" si="219"/>
        <v>1</v>
      </c>
      <c r="MY49" s="157">
        <f t="shared" si="220"/>
        <v>891.06928616941536</v>
      </c>
      <c r="MZ49" s="157">
        <f t="shared" si="221"/>
        <v>645.54794520547944</v>
      </c>
      <c r="NA49" s="162">
        <f t="shared" si="222"/>
        <v>2131.5286590360647</v>
      </c>
      <c r="NB49" s="157">
        <f t="shared" si="223"/>
        <v>875</v>
      </c>
      <c r="NC49" s="157">
        <f t="shared" si="224"/>
        <v>525</v>
      </c>
      <c r="ND49" s="207">
        <f t="shared" si="51"/>
        <v>350</v>
      </c>
      <c r="NE49" s="207">
        <f t="shared" si="225"/>
        <v>350</v>
      </c>
      <c r="NF49" s="157">
        <f t="shared" si="226"/>
        <v>350</v>
      </c>
      <c r="NG49" s="157">
        <f t="shared" si="52"/>
        <v>525</v>
      </c>
      <c r="NH49" s="157">
        <f t="shared" si="53"/>
        <v>875</v>
      </c>
      <c r="NI49" s="168">
        <f t="shared" si="227"/>
        <v>118.99999999999982</v>
      </c>
      <c r="NJ49" s="168">
        <f t="shared" si="228"/>
        <v>178.49999999999974</v>
      </c>
      <c r="NK49" s="168">
        <f t="shared" si="229"/>
        <v>297.49999999999955</v>
      </c>
      <c r="NL49" s="157">
        <f t="shared" si="230"/>
        <v>1256.5286590360647</v>
      </c>
      <c r="NM49" s="168">
        <f t="shared" si="231"/>
        <v>110.82299999999982</v>
      </c>
      <c r="NN49" s="168">
        <f t="shared" si="232"/>
        <v>302.9635572976008</v>
      </c>
      <c r="NO49" s="168">
        <f t="shared" si="233"/>
        <v>724.71974407226094</v>
      </c>
      <c r="NP49" s="168">
        <f t="shared" si="234"/>
        <v>427.21974407226134</v>
      </c>
      <c r="NQ49" s="168">
        <f t="shared" si="235"/>
        <v>1165.5363013698613</v>
      </c>
      <c r="NR49" s="157">
        <f t="shared" si="236"/>
        <v>325.94999999999993</v>
      </c>
      <c r="NS49" s="168">
        <f t="shared" si="237"/>
        <v>178.49999999999974</v>
      </c>
      <c r="NT49" s="157">
        <f t="shared" si="238"/>
        <v>3428.0479452054797</v>
      </c>
      <c r="NU49" s="168">
        <f t="shared" si="239"/>
        <v>421.25999999999942</v>
      </c>
      <c r="NV49" s="168">
        <f t="shared" si="240"/>
        <v>283.40699999999953</v>
      </c>
      <c r="NW49" s="181"/>
      <c r="NX49" s="157"/>
      <c r="NY49" s="157"/>
      <c r="NZ49" s="157"/>
      <c r="OA49" s="157"/>
      <c r="OB49" s="157"/>
    </row>
    <row r="50" spans="1:392" ht="13" x14ac:dyDescent="0.3">
      <c r="A50" s="154">
        <v>49.075342465753423</v>
      </c>
      <c r="B50" s="154">
        <v>4.5</v>
      </c>
      <c r="C50" s="154">
        <f t="shared" si="241"/>
        <v>4.5</v>
      </c>
      <c r="D50" s="154">
        <v>18896.999999999989</v>
      </c>
      <c r="E50" s="200">
        <f t="shared" si="242"/>
        <v>67.010638297872291</v>
      </c>
      <c r="F50" s="181">
        <f t="shared" si="54"/>
        <v>1455.3</v>
      </c>
      <c r="G50" s="161">
        <f t="shared" si="258"/>
        <v>282.00000000000006</v>
      </c>
      <c r="H50" s="154">
        <f t="shared" si="55"/>
        <v>1.4553</v>
      </c>
      <c r="I50" s="161">
        <f t="shared" si="56"/>
        <v>4653.0000000000009</v>
      </c>
      <c r="J50" s="181">
        <f t="shared" si="57"/>
        <v>21</v>
      </c>
      <c r="K50" s="181">
        <f t="shared" si="58"/>
        <v>13.584745762711865</v>
      </c>
      <c r="L50" s="181">
        <f t="shared" si="59"/>
        <v>8.4259079903147693</v>
      </c>
      <c r="M50" s="181">
        <f t="shared" si="60"/>
        <v>4.5</v>
      </c>
      <c r="N50" s="181">
        <f t="shared" si="61"/>
        <v>10.242857142857144</v>
      </c>
      <c r="O50" s="181">
        <f t="shared" si="62"/>
        <v>10.242857142857144</v>
      </c>
      <c r="P50" s="181">
        <f t="shared" si="63"/>
        <v>15</v>
      </c>
      <c r="Q50" s="181">
        <f t="shared" si="64"/>
        <v>15.746001796945194</v>
      </c>
      <c r="R50" s="168">
        <f t="shared" si="65"/>
        <v>246.75000000000006</v>
      </c>
      <c r="S50" s="161">
        <f t="shared" si="66"/>
        <v>647.40130442875511</v>
      </c>
      <c r="T50" s="161">
        <f t="shared" si="67"/>
        <v>55.90012492461446</v>
      </c>
      <c r="U50" s="161">
        <f t="shared" si="68"/>
        <v>40.596687208882805</v>
      </c>
      <c r="V50" s="154">
        <f t="shared" si="69"/>
        <v>0.30255428571428566</v>
      </c>
      <c r="W50" s="154">
        <f t="shared" si="70"/>
        <v>1.055503592199232</v>
      </c>
      <c r="X50" s="154">
        <f t="shared" si="71"/>
        <v>2.2957493064849466</v>
      </c>
      <c r="Y50" s="154">
        <f t="shared" si="72"/>
        <v>3.2690479452054793</v>
      </c>
      <c r="Z50" s="154">
        <f t="shared" si="73"/>
        <v>1.1682000000000001</v>
      </c>
      <c r="AA50" s="154">
        <f t="shared" si="74"/>
        <v>0.9732986387205329</v>
      </c>
      <c r="AB50" s="154">
        <f t="shared" si="26"/>
        <v>1.9305035921992326</v>
      </c>
      <c r="AC50" s="154">
        <f t="shared" si="27"/>
        <v>0.64554794520547942</v>
      </c>
      <c r="AD50" s="154">
        <f t="shared" si="28"/>
        <v>0.35</v>
      </c>
      <c r="AE50" s="154">
        <f t="shared" si="29"/>
        <v>0.52500000000000002</v>
      </c>
      <c r="AF50" s="154">
        <f t="shared" si="30"/>
        <v>0.875</v>
      </c>
      <c r="AG50" s="154">
        <f t="shared" si="75"/>
        <v>0.3652457142857144</v>
      </c>
      <c r="AH50" s="154">
        <f t="shared" si="76"/>
        <v>1.2402457142857144</v>
      </c>
      <c r="AI50" s="154">
        <f t="shared" si="77"/>
        <v>0.58732876712328763</v>
      </c>
      <c r="AJ50" s="154">
        <f t="shared" si="78"/>
        <v>5.8219178082191785E-2</v>
      </c>
      <c r="AK50" s="154">
        <f t="shared" si="79"/>
        <v>0</v>
      </c>
      <c r="AL50" s="161">
        <f t="shared" si="80"/>
        <v>587.32876712328766</v>
      </c>
      <c r="AM50" s="161">
        <f t="shared" si="81"/>
        <v>58.219178082191782</v>
      </c>
      <c r="AN50" s="161">
        <f t="shared" si="82"/>
        <v>0</v>
      </c>
      <c r="AO50" s="161"/>
      <c r="AP50" s="154">
        <f t="shared" si="83"/>
        <v>0.64554794520547942</v>
      </c>
      <c r="AQ50" s="154">
        <f t="shared" si="84"/>
        <v>0.64554794520547942</v>
      </c>
      <c r="AR50" s="154">
        <f t="shared" si="85"/>
        <v>1.5428000000000002</v>
      </c>
      <c r="AS50" s="161"/>
      <c r="AT50" s="161"/>
      <c r="AU50" s="161"/>
      <c r="AV50" s="161"/>
      <c r="AW50" s="181"/>
      <c r="AX50" s="181"/>
      <c r="AY50" s="181"/>
      <c r="AZ50" s="181"/>
      <c r="BA50" s="181"/>
      <c r="BB50" s="161"/>
      <c r="BC50" s="161"/>
      <c r="BD50" s="161"/>
      <c r="BE50" s="181"/>
      <c r="BF50" s="168"/>
      <c r="BG50" s="181"/>
      <c r="BH50" s="168"/>
      <c r="BI50" s="168"/>
      <c r="BJ50" s="161"/>
      <c r="BK50" s="168"/>
      <c r="BL50" s="168"/>
      <c r="BM50" s="168"/>
      <c r="BN50" s="168"/>
      <c r="BO50" s="168">
        <f t="shared" si="86"/>
        <v>165.62671232876716</v>
      </c>
      <c r="BP50" s="168">
        <f t="shared" si="87"/>
        <v>16.417808219178088</v>
      </c>
      <c r="BQ50" s="168">
        <f t="shared" si="88"/>
        <v>0</v>
      </c>
      <c r="BR50" s="181"/>
      <c r="BS50" s="161"/>
      <c r="BT50" s="168"/>
      <c r="BU50" s="161"/>
      <c r="BV50" s="161"/>
      <c r="BW50" s="161"/>
      <c r="BX50" s="161"/>
      <c r="CB50" s="181">
        <f t="shared" si="89"/>
        <v>61.448855784873466</v>
      </c>
      <c r="CC50" s="181">
        <f t="shared" si="89"/>
        <v>0</v>
      </c>
      <c r="CD50" s="181">
        <f t="shared" si="89"/>
        <v>71.822193012536232</v>
      </c>
      <c r="CE50" s="181">
        <f t="shared" si="89"/>
        <v>0</v>
      </c>
      <c r="CF50" s="181">
        <f t="shared" si="89"/>
        <v>238.91151169096284</v>
      </c>
      <c r="CG50" s="181">
        <f t="shared" si="89"/>
        <v>0</v>
      </c>
      <c r="CH50" s="181">
        <f t="shared" si="89"/>
        <v>71.916078232160459</v>
      </c>
      <c r="CI50" s="181">
        <f t="shared" si="89"/>
        <v>0</v>
      </c>
      <c r="CJ50" s="182">
        <f t="shared" si="90"/>
        <v>444.09863872053302</v>
      </c>
      <c r="CK50" s="161">
        <f t="shared" si="91"/>
        <v>444.09863872053302</v>
      </c>
      <c r="CL50" s="161">
        <f t="shared" si="243"/>
        <v>529.19999999999993</v>
      </c>
      <c r="CM50" s="182">
        <f t="shared" si="92"/>
        <v>973.29863872053295</v>
      </c>
      <c r="CN50" s="157">
        <f t="shared" si="93"/>
        <v>125.23581611919033</v>
      </c>
      <c r="CO50" s="162">
        <f t="shared" si="94"/>
        <v>973.29863872053295</v>
      </c>
      <c r="FT50" s="168">
        <f t="shared" si="244"/>
        <v>2.5</v>
      </c>
      <c r="FU50" s="161">
        <f t="shared" si="245"/>
        <v>350</v>
      </c>
      <c r="FV50" s="161">
        <f t="shared" si="33"/>
        <v>525</v>
      </c>
      <c r="FW50" s="161">
        <f t="shared" si="95"/>
        <v>875</v>
      </c>
      <c r="FX50" s="161">
        <v>282.00000000000006</v>
      </c>
      <c r="FY50" s="168">
        <f t="shared" si="96"/>
        <v>2.5</v>
      </c>
      <c r="FZ50" s="161">
        <v>350</v>
      </c>
      <c r="GA50" s="161">
        <v>525</v>
      </c>
      <c r="GB50" s="161">
        <v>875</v>
      </c>
      <c r="GC50" s="168">
        <f t="shared" si="246"/>
        <v>0.56785714285714284</v>
      </c>
      <c r="GD50" s="154">
        <f t="shared" si="97"/>
        <v>21</v>
      </c>
      <c r="GE50" s="181">
        <f t="shared" si="98"/>
        <v>13.584745762711865</v>
      </c>
      <c r="GF50" s="181">
        <f t="shared" si="34"/>
        <v>8.4259079903147693</v>
      </c>
      <c r="GG50" s="154">
        <f t="shared" si="99"/>
        <v>4.5</v>
      </c>
      <c r="GH50" s="181">
        <f t="shared" si="100"/>
        <v>10.242857142857144</v>
      </c>
      <c r="GI50" s="181">
        <f t="shared" si="101"/>
        <v>24.000718778077271</v>
      </c>
      <c r="GJ50" s="181">
        <f t="shared" si="102"/>
        <v>24.000718778077271</v>
      </c>
      <c r="GK50" s="181">
        <f t="shared" si="103"/>
        <v>4.5</v>
      </c>
      <c r="GL50" s="157">
        <f t="shared" si="104"/>
        <v>365.24571428571437</v>
      </c>
      <c r="GM50" s="157">
        <f t="shared" si="105"/>
        <v>1168.2</v>
      </c>
      <c r="GN50" s="157">
        <f t="shared" si="106"/>
        <v>0</v>
      </c>
      <c r="GO50" s="157">
        <f t="shared" si="107"/>
        <v>802.95428571428567</v>
      </c>
      <c r="GP50" s="157">
        <f t="shared" si="108"/>
        <v>1455.3</v>
      </c>
      <c r="GQ50" s="157">
        <f t="shared" si="109"/>
        <v>973.29863872053295</v>
      </c>
      <c r="GR50" s="157">
        <f t="shared" si="110"/>
        <v>2258.2542857142857</v>
      </c>
      <c r="GS50" s="200">
        <f t="shared" si="111"/>
        <v>1</v>
      </c>
      <c r="GT50" s="157">
        <f t="shared" si="112"/>
        <v>973.29863872053295</v>
      </c>
      <c r="GU50" s="157">
        <f t="shared" si="113"/>
        <v>645.54794520547944</v>
      </c>
      <c r="GV50" s="162">
        <f t="shared" si="114"/>
        <v>1930.5035921992326</v>
      </c>
      <c r="GW50" s="157">
        <f t="shared" si="115"/>
        <v>875</v>
      </c>
      <c r="GX50" s="157">
        <f t="shared" si="247"/>
        <v>525</v>
      </c>
      <c r="GY50" s="207">
        <f t="shared" si="35"/>
        <v>350</v>
      </c>
      <c r="GZ50" s="207">
        <f t="shared" si="116"/>
        <v>350</v>
      </c>
      <c r="HA50" s="157">
        <f t="shared" si="117"/>
        <v>350</v>
      </c>
      <c r="HB50" s="157">
        <f t="shared" si="36"/>
        <v>525</v>
      </c>
      <c r="HC50" s="157">
        <f t="shared" si="37"/>
        <v>875</v>
      </c>
      <c r="HD50" s="168">
        <f t="shared" si="38"/>
        <v>98.700000000000017</v>
      </c>
      <c r="HE50" s="168">
        <f t="shared" si="118"/>
        <v>148.05000000000004</v>
      </c>
      <c r="HF50" s="168">
        <f t="shared" si="39"/>
        <v>246.75000000000006</v>
      </c>
      <c r="HG50" s="157">
        <f t="shared" si="119"/>
        <v>1055.5035921992326</v>
      </c>
      <c r="HH50" s="168">
        <f t="shared" si="120"/>
        <v>0</v>
      </c>
      <c r="HI50" s="168">
        <f t="shared" si="121"/>
        <v>274.47021611919035</v>
      </c>
      <c r="HJ50" s="168">
        <f t="shared" si="122"/>
        <v>544.40201300018373</v>
      </c>
      <c r="HK50" s="168">
        <f t="shared" si="123"/>
        <v>297.65201300018367</v>
      </c>
      <c r="HL50" s="168">
        <f t="shared" si="124"/>
        <v>921.87152054794547</v>
      </c>
      <c r="HM50" s="157">
        <f t="shared" si="125"/>
        <v>874.99999999999989</v>
      </c>
      <c r="HN50" s="168">
        <f t="shared" si="126"/>
        <v>148.05000000000004</v>
      </c>
      <c r="HP50" s="168">
        <f t="shared" si="127"/>
        <v>329.43240000000009</v>
      </c>
      <c r="HQ50" s="168">
        <f t="shared" si="128"/>
        <v>226.43310857142859</v>
      </c>
      <c r="HR50" s="181"/>
      <c r="HU50" s="168">
        <f t="shared" si="287"/>
        <v>2.5</v>
      </c>
      <c r="HV50" s="161">
        <f t="shared" si="287"/>
        <v>350</v>
      </c>
      <c r="HW50" s="161">
        <f t="shared" si="40"/>
        <v>525</v>
      </c>
      <c r="HX50" s="161">
        <f t="shared" si="41"/>
        <v>875</v>
      </c>
      <c r="HY50" s="161">
        <v>282.00000000000006</v>
      </c>
      <c r="HZ50" s="168">
        <f t="shared" si="129"/>
        <v>2.5</v>
      </c>
      <c r="IA50" s="161">
        <v>336.55285714285714</v>
      </c>
      <c r="IB50" s="161">
        <v>504.82928571428567</v>
      </c>
      <c r="IC50" s="161">
        <v>841.38214285714287</v>
      </c>
      <c r="ID50" s="168">
        <f t="shared" si="288"/>
        <v>0.56785714285714284</v>
      </c>
      <c r="IE50" s="154">
        <f t="shared" si="130"/>
        <v>21</v>
      </c>
      <c r="IF50" s="154">
        <f t="shared" si="131"/>
        <v>4.5</v>
      </c>
      <c r="IG50" s="181">
        <f t="shared" si="132"/>
        <v>11.630357142857143</v>
      </c>
      <c r="IH50" s="181">
        <f t="shared" si="133"/>
        <v>14.930357142857142</v>
      </c>
      <c r="II50" s="181">
        <f t="shared" si="134"/>
        <v>4.5000000000000009</v>
      </c>
      <c r="IJ50" s="181">
        <f t="shared" si="135"/>
        <v>28.159636118598385</v>
      </c>
      <c r="IK50" s="181">
        <f t="shared" si="136"/>
        <v>28.159636118598385</v>
      </c>
      <c r="IL50" s="181">
        <f t="shared" si="250"/>
        <v>0</v>
      </c>
      <c r="IM50" s="181">
        <f t="shared" si="137"/>
        <v>4.5</v>
      </c>
      <c r="IN50" s="157">
        <f t="shared" si="138"/>
        <v>663.37071428571426</v>
      </c>
      <c r="IO50" s="157">
        <f t="shared" si="139"/>
        <v>1168.2</v>
      </c>
      <c r="IP50" s="157">
        <f t="shared" si="42"/>
        <v>0</v>
      </c>
      <c r="IQ50" s="157">
        <f t="shared" si="43"/>
        <v>504.82928571428579</v>
      </c>
      <c r="IR50" s="157">
        <f t="shared" si="140"/>
        <v>1455.3</v>
      </c>
      <c r="IS50" s="157">
        <f t="shared" si="141"/>
        <v>973.29863872053295</v>
      </c>
      <c r="IT50" s="157">
        <f t="shared" si="142"/>
        <v>1960.1292857142857</v>
      </c>
      <c r="IU50" s="200">
        <f t="shared" si="143"/>
        <v>1</v>
      </c>
      <c r="IV50" s="157">
        <f t="shared" si="144"/>
        <v>973.29863872053295</v>
      </c>
      <c r="IW50" s="157">
        <f t="shared" si="145"/>
        <v>645.54794520547944</v>
      </c>
      <c r="IX50" s="162">
        <f t="shared" si="146"/>
        <v>1632.3785921992326</v>
      </c>
      <c r="IY50" s="157">
        <f t="shared" si="22"/>
        <v>875</v>
      </c>
      <c r="IZ50" s="157">
        <f t="shared" si="147"/>
        <v>504.82928571428573</v>
      </c>
      <c r="JA50" s="207">
        <f t="shared" si="148"/>
        <v>350</v>
      </c>
      <c r="JB50" s="207">
        <f t="shared" si="149"/>
        <v>336.55285714285714</v>
      </c>
      <c r="JC50" s="157">
        <f t="shared" si="150"/>
        <v>336.55285714285714</v>
      </c>
      <c r="JD50" s="157">
        <f t="shared" si="151"/>
        <v>504.82928571428567</v>
      </c>
      <c r="JE50" s="157">
        <f t="shared" si="152"/>
        <v>841.38214285714287</v>
      </c>
      <c r="JF50" s="168">
        <f t="shared" si="153"/>
        <v>94.907905714285732</v>
      </c>
      <c r="JG50" s="168">
        <f t="shared" si="154"/>
        <v>142.36185857142857</v>
      </c>
      <c r="JH50" s="168">
        <f t="shared" si="155"/>
        <v>237.26976428571433</v>
      </c>
      <c r="JI50" s="157">
        <f t="shared" si="156"/>
        <v>790.9964493420897</v>
      </c>
      <c r="JJ50" s="168">
        <f t="shared" si="157"/>
        <v>0</v>
      </c>
      <c r="JK50" s="168">
        <f t="shared" si="158"/>
        <v>274.47021611919035</v>
      </c>
      <c r="JL50" s="168">
        <f t="shared" si="159"/>
        <v>460.33076300018371</v>
      </c>
      <c r="JM50" s="168">
        <f t="shared" si="160"/>
        <v>223.06099871446932</v>
      </c>
      <c r="JN50" s="168">
        <f t="shared" si="161"/>
        <v>921.87152054794547</v>
      </c>
      <c r="JO50" s="157">
        <f t="shared" si="162"/>
        <v>4.4292857142856974</v>
      </c>
      <c r="JP50" s="168">
        <f t="shared" si="163"/>
        <v>142.36185857142857</v>
      </c>
      <c r="JR50" s="168">
        <f t="shared" si="164"/>
        <v>329.43240000000009</v>
      </c>
      <c r="JS50" s="168">
        <f t="shared" si="165"/>
        <v>142.3618585714286</v>
      </c>
      <c r="JT50" s="181"/>
      <c r="JW50" s="168">
        <f t="shared" ref="JW50:JX50" si="307">JW49</f>
        <v>2.5</v>
      </c>
      <c r="JX50" s="161">
        <f t="shared" si="307"/>
        <v>350</v>
      </c>
      <c r="JY50" s="161">
        <f t="shared" si="44"/>
        <v>525</v>
      </c>
      <c r="JZ50" s="161">
        <f t="shared" si="45"/>
        <v>875</v>
      </c>
      <c r="KA50" s="161">
        <v>282.00000000000006</v>
      </c>
      <c r="KB50" s="168">
        <f t="shared" si="166"/>
        <v>2.5</v>
      </c>
      <c r="KC50" s="161">
        <v>336.55285714285714</v>
      </c>
      <c r="KD50" s="161">
        <v>504.82928571428567</v>
      </c>
      <c r="KE50" s="161">
        <v>841.38214285714287</v>
      </c>
      <c r="KF50" s="168">
        <f t="shared" ref="KF50" si="308">KF49</f>
        <v>0.56785714285714284</v>
      </c>
      <c r="KG50" s="154">
        <f t="shared" si="167"/>
        <v>21</v>
      </c>
      <c r="KH50" s="154">
        <f t="shared" si="168"/>
        <v>4.5</v>
      </c>
      <c r="KI50" s="181">
        <f t="shared" si="169"/>
        <v>11.630357142857143</v>
      </c>
      <c r="KJ50" s="181">
        <f t="shared" si="170"/>
        <v>14.930357142857142</v>
      </c>
      <c r="KK50" s="181">
        <f t="shared" si="171"/>
        <v>4.5000000000000009</v>
      </c>
      <c r="KL50" s="181">
        <f t="shared" si="172"/>
        <v>14.930357142857142</v>
      </c>
      <c r="KM50" s="181">
        <f t="shared" si="173"/>
        <v>15</v>
      </c>
      <c r="KN50" s="181">
        <f t="shared" si="253"/>
        <v>0</v>
      </c>
      <c r="KO50" s="181">
        <f t="shared" si="174"/>
        <v>4.5</v>
      </c>
      <c r="KP50" s="157">
        <f t="shared" si="175"/>
        <v>663.37071428571426</v>
      </c>
      <c r="KQ50" s="157">
        <f t="shared" si="46"/>
        <v>1168.2</v>
      </c>
      <c r="KR50" s="157">
        <f t="shared" si="176"/>
        <v>4.4292857142857684</v>
      </c>
      <c r="KS50" s="157">
        <f t="shared" si="177"/>
        <v>500.40000000000003</v>
      </c>
      <c r="KT50" s="157">
        <f t="shared" si="178"/>
        <v>1455.3</v>
      </c>
      <c r="KU50" s="157">
        <f t="shared" si="179"/>
        <v>973.29863872053295</v>
      </c>
      <c r="KV50" s="157">
        <f t="shared" si="180"/>
        <v>1955.7</v>
      </c>
      <c r="KW50" s="200">
        <f t="shared" si="181"/>
        <v>1</v>
      </c>
      <c r="KX50" s="157">
        <f t="shared" si="182"/>
        <v>973.29863872053295</v>
      </c>
      <c r="KY50" s="157">
        <f t="shared" si="183"/>
        <v>645.54794520547944</v>
      </c>
      <c r="KZ50" s="162">
        <f t="shared" si="47"/>
        <v>1632.3785921992326</v>
      </c>
      <c r="LA50" s="157">
        <f t="shared" si="184"/>
        <v>875</v>
      </c>
      <c r="LB50" s="157">
        <f t="shared" si="185"/>
        <v>504.82928571428573</v>
      </c>
      <c r="LC50" s="207">
        <f t="shared" si="186"/>
        <v>350</v>
      </c>
      <c r="LD50" s="207">
        <f t="shared" si="187"/>
        <v>336.55285714285714</v>
      </c>
      <c r="LE50" s="157">
        <f t="shared" si="188"/>
        <v>336.55285714285714</v>
      </c>
      <c r="LF50" s="157">
        <f t="shared" si="189"/>
        <v>504.82928571428567</v>
      </c>
      <c r="LG50" s="157">
        <f t="shared" si="190"/>
        <v>841.38214285714287</v>
      </c>
      <c r="LH50" s="168">
        <f t="shared" si="191"/>
        <v>94.907905714285732</v>
      </c>
      <c r="LI50" s="168">
        <f t="shared" si="192"/>
        <v>142.36185857142857</v>
      </c>
      <c r="LJ50" s="168">
        <f t="shared" si="193"/>
        <v>237.26976428571433</v>
      </c>
      <c r="LK50" s="157">
        <f t="shared" si="194"/>
        <v>790.9964493420897</v>
      </c>
      <c r="LL50" s="168">
        <f t="shared" si="195"/>
        <v>1.2490585714285869</v>
      </c>
      <c r="LM50" s="168">
        <f t="shared" si="196"/>
        <v>274.47021611919035</v>
      </c>
      <c r="LN50" s="168">
        <f t="shared" si="197"/>
        <v>460.33076300018371</v>
      </c>
      <c r="LO50" s="168">
        <f t="shared" si="198"/>
        <v>223.06099871446932</v>
      </c>
      <c r="LP50" s="168">
        <f t="shared" si="199"/>
        <v>921.87152054794547</v>
      </c>
      <c r="LQ50" s="157">
        <f t="shared" si="200"/>
        <v>4.4292857142856974</v>
      </c>
      <c r="LR50" s="168">
        <f t="shared" si="201"/>
        <v>142.36185857142857</v>
      </c>
      <c r="LT50" s="168">
        <f t="shared" si="202"/>
        <v>329.43240000000009</v>
      </c>
      <c r="LU50" s="168">
        <f t="shared" si="203"/>
        <v>142.3618585714286</v>
      </c>
      <c r="LV50" s="181"/>
      <c r="LY50" s="168">
        <f t="shared" si="291"/>
        <v>2.5</v>
      </c>
      <c r="LZ50" s="161">
        <f t="shared" si="291"/>
        <v>350</v>
      </c>
      <c r="MA50" s="161">
        <f t="shared" si="48"/>
        <v>525</v>
      </c>
      <c r="MB50" s="161">
        <f t="shared" si="49"/>
        <v>875</v>
      </c>
      <c r="MC50" s="161">
        <v>282.00000000000006</v>
      </c>
      <c r="MD50" s="168">
        <f t="shared" si="204"/>
        <v>2.5</v>
      </c>
      <c r="ME50" s="161">
        <v>350</v>
      </c>
      <c r="MF50" s="161">
        <v>525</v>
      </c>
      <c r="MG50" s="161">
        <v>875</v>
      </c>
      <c r="MH50" s="168">
        <f t="shared" si="292"/>
        <v>0.56785714285714284</v>
      </c>
      <c r="MI50" s="154">
        <f t="shared" si="205"/>
        <v>21</v>
      </c>
      <c r="MJ50" s="181">
        <f t="shared" si="206"/>
        <v>13.584745762711865</v>
      </c>
      <c r="MK50" s="181">
        <f t="shared" si="207"/>
        <v>8.4259079903147693</v>
      </c>
      <c r="ML50" s="154">
        <f t="shared" si="208"/>
        <v>4.5</v>
      </c>
      <c r="MM50" s="181">
        <f t="shared" si="209"/>
        <v>10.242857142857144</v>
      </c>
      <c r="MN50" s="181">
        <f t="shared" si="210"/>
        <v>10.242857142857144</v>
      </c>
      <c r="MO50" s="181">
        <f t="shared" si="211"/>
        <v>15</v>
      </c>
      <c r="MP50" s="181">
        <f t="shared" si="212"/>
        <v>4.5</v>
      </c>
      <c r="MQ50" s="157">
        <f t="shared" si="50"/>
        <v>365.24571428571437</v>
      </c>
      <c r="MR50" s="157">
        <f t="shared" si="213"/>
        <v>1168.2</v>
      </c>
      <c r="MS50" s="157">
        <f t="shared" si="214"/>
        <v>302.55428571428564</v>
      </c>
      <c r="MT50" s="157">
        <f t="shared" si="215"/>
        <v>500.40000000000003</v>
      </c>
      <c r="MU50" s="157">
        <f t="shared" si="216"/>
        <v>1455.3</v>
      </c>
      <c r="MV50" s="157">
        <f t="shared" si="217"/>
        <v>973.29863872053295</v>
      </c>
      <c r="MW50" s="157">
        <f t="shared" si="218"/>
        <v>1955.7</v>
      </c>
      <c r="MX50" s="200">
        <f t="shared" si="219"/>
        <v>1</v>
      </c>
      <c r="MY50" s="157">
        <f t="shared" si="220"/>
        <v>973.29863872053295</v>
      </c>
      <c r="MZ50" s="157">
        <f t="shared" si="221"/>
        <v>645.54794520547944</v>
      </c>
      <c r="NA50" s="162">
        <f t="shared" si="222"/>
        <v>1930.5035921992326</v>
      </c>
      <c r="NB50" s="157">
        <f t="shared" si="223"/>
        <v>875</v>
      </c>
      <c r="NC50" s="157">
        <f t="shared" si="224"/>
        <v>525</v>
      </c>
      <c r="ND50" s="207">
        <f t="shared" si="51"/>
        <v>350</v>
      </c>
      <c r="NE50" s="207">
        <f t="shared" si="225"/>
        <v>350</v>
      </c>
      <c r="NF50" s="157">
        <f t="shared" si="226"/>
        <v>350</v>
      </c>
      <c r="NG50" s="157">
        <f t="shared" si="52"/>
        <v>525</v>
      </c>
      <c r="NH50" s="157">
        <f t="shared" si="53"/>
        <v>875</v>
      </c>
      <c r="NI50" s="168">
        <f t="shared" si="227"/>
        <v>98.700000000000017</v>
      </c>
      <c r="NJ50" s="168">
        <f t="shared" si="228"/>
        <v>148.05000000000004</v>
      </c>
      <c r="NK50" s="168">
        <f t="shared" si="229"/>
        <v>246.75000000000006</v>
      </c>
      <c r="NL50" s="157">
        <f t="shared" si="230"/>
        <v>1055.5035921992326</v>
      </c>
      <c r="NM50" s="168">
        <f t="shared" si="231"/>
        <v>85.320308571428569</v>
      </c>
      <c r="NN50" s="168">
        <f t="shared" si="232"/>
        <v>274.47021611919035</v>
      </c>
      <c r="NO50" s="168">
        <f t="shared" si="233"/>
        <v>544.40201300018373</v>
      </c>
      <c r="NP50" s="168">
        <f t="shared" si="234"/>
        <v>297.65201300018367</v>
      </c>
      <c r="NQ50" s="168">
        <f t="shared" si="235"/>
        <v>921.87152054794547</v>
      </c>
      <c r="NR50" s="157">
        <f t="shared" si="236"/>
        <v>302.55428571428558</v>
      </c>
      <c r="NS50" s="168">
        <f t="shared" si="237"/>
        <v>148.05000000000004</v>
      </c>
      <c r="NT50" s="157">
        <f t="shared" si="238"/>
        <v>3269.0479452054797</v>
      </c>
      <c r="NU50" s="168">
        <f t="shared" si="239"/>
        <v>329.43240000000009</v>
      </c>
      <c r="NV50" s="168">
        <f t="shared" si="240"/>
        <v>226.43310857142859</v>
      </c>
      <c r="NW50" s="181"/>
      <c r="NX50" s="157"/>
      <c r="NY50" s="157"/>
      <c r="NZ50" s="157"/>
      <c r="OA50" s="157"/>
      <c r="OB50" s="157"/>
    </row>
    <row r="51" spans="1:392" ht="13" x14ac:dyDescent="0.3">
      <c r="A51" s="154">
        <v>52.363013698630134</v>
      </c>
      <c r="B51" s="154">
        <v>5.5</v>
      </c>
      <c r="C51" s="154">
        <f t="shared" si="241"/>
        <v>5.5</v>
      </c>
      <c r="D51" s="154">
        <v>21386.299999999981</v>
      </c>
      <c r="E51" s="200">
        <f t="shared" si="242"/>
        <v>74.25798611111108</v>
      </c>
      <c r="F51" s="181">
        <f t="shared" si="54"/>
        <v>1367.1000000000001</v>
      </c>
      <c r="G51" s="161">
        <f t="shared" si="258"/>
        <v>287.99999999999989</v>
      </c>
      <c r="H51" s="154">
        <f t="shared" si="55"/>
        <v>1.3671000000000002</v>
      </c>
      <c r="I51" s="161">
        <f t="shared" si="56"/>
        <v>4463.9999999999982</v>
      </c>
      <c r="J51" s="181">
        <f t="shared" si="57"/>
        <v>21</v>
      </c>
      <c r="K51" s="181">
        <f t="shared" si="58"/>
        <v>13.584745762711865</v>
      </c>
      <c r="L51" s="181">
        <f t="shared" si="59"/>
        <v>8.9937651331719124</v>
      </c>
      <c r="M51" s="181">
        <f t="shared" si="60"/>
        <v>5.5</v>
      </c>
      <c r="N51" s="181">
        <f t="shared" si="61"/>
        <v>10.610714285714288</v>
      </c>
      <c r="O51" s="181">
        <f t="shared" si="62"/>
        <v>10.610714285714288</v>
      </c>
      <c r="P51" s="181">
        <f t="shared" si="63"/>
        <v>15</v>
      </c>
      <c r="Q51" s="181">
        <f t="shared" si="64"/>
        <v>16.113858939802338</v>
      </c>
      <c r="R51" s="168">
        <f t="shared" si="65"/>
        <v>251.99999999999989</v>
      </c>
      <c r="S51" s="161">
        <f t="shared" si="66"/>
        <v>601.55109003799362</v>
      </c>
      <c r="T51" s="161">
        <f t="shared" si="67"/>
        <v>54.400124924614467</v>
      </c>
      <c r="U51" s="161">
        <f t="shared" si="68"/>
        <v>38.341494695470487</v>
      </c>
      <c r="V51" s="154">
        <f t="shared" si="69"/>
        <v>0.27915857142857131</v>
      </c>
      <c r="W51" s="154">
        <f t="shared" si="70"/>
        <v>0.88867763406049405</v>
      </c>
      <c r="X51" s="154">
        <f t="shared" si="71"/>
        <v>2.088719062631923</v>
      </c>
      <c r="Y51" s="154">
        <f t="shared" si="72"/>
        <v>3.1100479452054794</v>
      </c>
      <c r="Z51" s="154">
        <f t="shared" si="73"/>
        <v>1.0973999999999999</v>
      </c>
      <c r="AA51" s="154">
        <f t="shared" si="74"/>
        <v>1.0213288825735567</v>
      </c>
      <c r="AB51" s="154">
        <f t="shared" si="26"/>
        <v>1.7636776340604943</v>
      </c>
      <c r="AC51" s="154">
        <f t="shared" si="27"/>
        <v>0.64554794520547942</v>
      </c>
      <c r="AD51" s="154">
        <f t="shared" si="28"/>
        <v>0.35</v>
      </c>
      <c r="AE51" s="154">
        <f t="shared" si="29"/>
        <v>0.52500000000000002</v>
      </c>
      <c r="AF51" s="154">
        <f t="shared" si="30"/>
        <v>0.875</v>
      </c>
      <c r="AG51" s="154">
        <f t="shared" si="75"/>
        <v>0.32504142857142865</v>
      </c>
      <c r="AH51" s="154">
        <f t="shared" si="76"/>
        <v>1.2000414285714287</v>
      </c>
      <c r="AI51" s="154">
        <f t="shared" si="77"/>
        <v>0.58732876712328763</v>
      </c>
      <c r="AJ51" s="154">
        <f t="shared" si="78"/>
        <v>5.8219178082191785E-2</v>
      </c>
      <c r="AK51" s="154">
        <f t="shared" si="79"/>
        <v>0</v>
      </c>
      <c r="AL51" s="161">
        <f t="shared" si="80"/>
        <v>587.32876712328766</v>
      </c>
      <c r="AM51" s="161">
        <f t="shared" si="81"/>
        <v>58.219178082191782</v>
      </c>
      <c r="AN51" s="161">
        <f t="shared" si="82"/>
        <v>0</v>
      </c>
      <c r="AO51" s="161"/>
      <c r="AP51" s="154">
        <f t="shared" si="83"/>
        <v>0.64554794520547942</v>
      </c>
      <c r="AQ51" s="154">
        <f t="shared" si="84"/>
        <v>0.64554794520547942</v>
      </c>
      <c r="AR51" s="154">
        <f t="shared" si="85"/>
        <v>1.4792000000000001</v>
      </c>
      <c r="AS51" s="161"/>
      <c r="AT51" s="161"/>
      <c r="AU51" s="161"/>
      <c r="AV51" s="161"/>
      <c r="AW51" s="181"/>
      <c r="AX51" s="181"/>
      <c r="AY51" s="181"/>
      <c r="AZ51" s="181"/>
      <c r="BA51" s="181"/>
      <c r="BB51" s="161"/>
      <c r="BC51" s="161"/>
      <c r="BD51" s="161"/>
      <c r="BE51" s="181"/>
      <c r="BF51" s="168"/>
      <c r="BG51" s="181"/>
      <c r="BH51" s="168"/>
      <c r="BI51" s="168"/>
      <c r="BJ51" s="161"/>
      <c r="BK51" s="168"/>
      <c r="BL51" s="168"/>
      <c r="BM51" s="168"/>
      <c r="BN51" s="168"/>
      <c r="BO51" s="168">
        <f t="shared" si="86"/>
        <v>169.15068493150676</v>
      </c>
      <c r="BP51" s="168">
        <f t="shared" si="87"/>
        <v>16.767123287671229</v>
      </c>
      <c r="BQ51" s="168">
        <f t="shared" si="88"/>
        <v>0</v>
      </c>
      <c r="BR51" s="181"/>
      <c r="BS51" s="161"/>
      <c r="BT51" s="168"/>
      <c r="BU51" s="161"/>
      <c r="BV51" s="161"/>
      <c r="BW51" s="161"/>
      <c r="BX51" s="161"/>
      <c r="CB51" s="181">
        <f t="shared" si="89"/>
        <v>68.094684595202366</v>
      </c>
      <c r="CC51" s="181">
        <f t="shared" si="89"/>
        <v>0</v>
      </c>
      <c r="CD51" s="181">
        <f t="shared" si="89"/>
        <v>79.589921043384521</v>
      </c>
      <c r="CE51" s="181">
        <f t="shared" si="89"/>
        <v>0</v>
      </c>
      <c r="CF51" s="181">
        <f t="shared" si="89"/>
        <v>264.75031677911034</v>
      </c>
      <c r="CG51" s="181">
        <f t="shared" si="89"/>
        <v>0</v>
      </c>
      <c r="CH51" s="181">
        <f t="shared" si="89"/>
        <v>79.693960155859543</v>
      </c>
      <c r="CI51" s="181">
        <f t="shared" si="89"/>
        <v>0</v>
      </c>
      <c r="CJ51" s="182">
        <f t="shared" si="90"/>
        <v>492.12888257355678</v>
      </c>
      <c r="CK51" s="161">
        <f t="shared" si="91"/>
        <v>492.12888257355672</v>
      </c>
      <c r="CL51" s="161">
        <f t="shared" si="243"/>
        <v>529.19999999999993</v>
      </c>
      <c r="CM51" s="182">
        <f t="shared" si="92"/>
        <v>1021.3288825735567</v>
      </c>
      <c r="CN51" s="157">
        <f t="shared" si="93"/>
        <v>141.7331181811843</v>
      </c>
      <c r="CO51" s="162">
        <f t="shared" si="94"/>
        <v>1021.3288825735567</v>
      </c>
      <c r="FT51" s="168">
        <f t="shared" si="244"/>
        <v>2.5</v>
      </c>
      <c r="FU51" s="161">
        <f t="shared" si="245"/>
        <v>350</v>
      </c>
      <c r="FV51" s="161">
        <f t="shared" si="33"/>
        <v>525</v>
      </c>
      <c r="FW51" s="161">
        <f t="shared" si="95"/>
        <v>875</v>
      </c>
      <c r="FX51" s="161">
        <v>287.99999999999989</v>
      </c>
      <c r="FY51" s="168">
        <f t="shared" si="96"/>
        <v>2.5</v>
      </c>
      <c r="FZ51" s="161">
        <v>350</v>
      </c>
      <c r="GA51" s="161">
        <v>525</v>
      </c>
      <c r="GB51" s="161">
        <v>875</v>
      </c>
      <c r="GC51" s="168">
        <f t="shared" si="246"/>
        <v>0.56785714285714284</v>
      </c>
      <c r="GD51" s="154">
        <f t="shared" si="97"/>
        <v>21</v>
      </c>
      <c r="GE51" s="181">
        <f t="shared" si="98"/>
        <v>13.584745762711865</v>
      </c>
      <c r="GF51" s="181">
        <f t="shared" si="34"/>
        <v>8.9937651331719124</v>
      </c>
      <c r="GG51" s="154">
        <f t="shared" si="99"/>
        <v>5.5</v>
      </c>
      <c r="GH51" s="181">
        <f t="shared" si="100"/>
        <v>10.610714285714288</v>
      </c>
      <c r="GI51" s="181">
        <f t="shared" si="101"/>
        <v>24.368575920934415</v>
      </c>
      <c r="GJ51" s="181">
        <f t="shared" si="102"/>
        <v>24.368575920934415</v>
      </c>
      <c r="GK51" s="181">
        <f t="shared" si="103"/>
        <v>5.5</v>
      </c>
      <c r="GL51" s="157">
        <f t="shared" si="104"/>
        <v>325.04142857142864</v>
      </c>
      <c r="GM51" s="157">
        <f t="shared" si="105"/>
        <v>1097.3999999999999</v>
      </c>
      <c r="GN51" s="157">
        <f t="shared" si="106"/>
        <v>0</v>
      </c>
      <c r="GO51" s="157">
        <f t="shared" si="107"/>
        <v>772.35857142857117</v>
      </c>
      <c r="GP51" s="157">
        <f t="shared" si="108"/>
        <v>1367.1000000000001</v>
      </c>
      <c r="GQ51" s="157">
        <f t="shared" si="109"/>
        <v>1021.3288825735567</v>
      </c>
      <c r="GR51" s="157">
        <f t="shared" si="110"/>
        <v>2139.4585714285713</v>
      </c>
      <c r="GS51" s="200">
        <f t="shared" si="111"/>
        <v>1</v>
      </c>
      <c r="GT51" s="157">
        <f t="shared" si="112"/>
        <v>1021.3288825735567</v>
      </c>
      <c r="GU51" s="157">
        <f t="shared" si="113"/>
        <v>645.54794520547944</v>
      </c>
      <c r="GV51" s="162">
        <f t="shared" si="114"/>
        <v>1763.6776340604943</v>
      </c>
      <c r="GW51" s="157">
        <f t="shared" si="115"/>
        <v>875</v>
      </c>
      <c r="GX51" s="157">
        <f t="shared" si="247"/>
        <v>525</v>
      </c>
      <c r="GY51" s="207">
        <f t="shared" si="35"/>
        <v>350</v>
      </c>
      <c r="GZ51" s="207">
        <f t="shared" si="116"/>
        <v>350</v>
      </c>
      <c r="HA51" s="157">
        <f t="shared" si="117"/>
        <v>350</v>
      </c>
      <c r="HB51" s="157">
        <f t="shared" si="36"/>
        <v>525</v>
      </c>
      <c r="HC51" s="157">
        <f t="shared" si="37"/>
        <v>875</v>
      </c>
      <c r="HD51" s="168">
        <f t="shared" si="38"/>
        <v>100.79999999999995</v>
      </c>
      <c r="HE51" s="168">
        <f t="shared" si="118"/>
        <v>151.19999999999996</v>
      </c>
      <c r="HF51" s="168">
        <f t="shared" si="39"/>
        <v>251.99999999999989</v>
      </c>
      <c r="HG51" s="157">
        <f t="shared" si="119"/>
        <v>888.67763406049426</v>
      </c>
      <c r="HH51" s="168">
        <f t="shared" si="120"/>
        <v>0</v>
      </c>
      <c r="HI51" s="168">
        <f t="shared" si="121"/>
        <v>294.14271818118419</v>
      </c>
      <c r="HJ51" s="168">
        <f t="shared" si="122"/>
        <v>507.93915860942212</v>
      </c>
      <c r="HK51" s="168">
        <f t="shared" si="123"/>
        <v>255.93915860942224</v>
      </c>
      <c r="HL51" s="168">
        <f t="shared" si="124"/>
        <v>895.69380821917775</v>
      </c>
      <c r="HM51" s="157">
        <f t="shared" si="125"/>
        <v>875</v>
      </c>
      <c r="HN51" s="168">
        <f t="shared" si="126"/>
        <v>151.19999999999996</v>
      </c>
      <c r="HP51" s="168">
        <f t="shared" si="127"/>
        <v>316.05119999999988</v>
      </c>
      <c r="HQ51" s="168">
        <f t="shared" si="128"/>
        <v>222.43926857142839</v>
      </c>
      <c r="HR51" s="181"/>
      <c r="HU51" s="168">
        <f t="shared" si="287"/>
        <v>2.5</v>
      </c>
      <c r="HV51" s="161">
        <f t="shared" si="287"/>
        <v>350</v>
      </c>
      <c r="HW51" s="161">
        <f t="shared" si="40"/>
        <v>525</v>
      </c>
      <c r="HX51" s="161">
        <f t="shared" si="41"/>
        <v>875</v>
      </c>
      <c r="HY51" s="161">
        <v>287.99999999999989</v>
      </c>
      <c r="HZ51" s="168">
        <f t="shared" si="129"/>
        <v>2.5</v>
      </c>
      <c r="IA51" s="161">
        <v>316.15571428571428</v>
      </c>
      <c r="IB51" s="161">
        <v>474.23357142857139</v>
      </c>
      <c r="IC51" s="161">
        <v>790.38928571428573</v>
      </c>
      <c r="ID51" s="168">
        <f t="shared" si="288"/>
        <v>0.56785714285714284</v>
      </c>
      <c r="IE51" s="154">
        <f t="shared" si="130"/>
        <v>21</v>
      </c>
      <c r="IF51" s="154">
        <f t="shared" si="131"/>
        <v>5.5</v>
      </c>
      <c r="IG51" s="181">
        <f t="shared" si="132"/>
        <v>12.198214285714286</v>
      </c>
      <c r="IH51" s="181">
        <f t="shared" si="133"/>
        <v>15.298214285714286</v>
      </c>
      <c r="II51" s="181">
        <f t="shared" si="134"/>
        <v>5.5000000000000009</v>
      </c>
      <c r="IJ51" s="181">
        <f t="shared" si="135"/>
        <v>27.725718778077272</v>
      </c>
      <c r="IK51" s="181">
        <f t="shared" si="136"/>
        <v>27.725718778077272</v>
      </c>
      <c r="IL51" s="181">
        <f t="shared" si="250"/>
        <v>0</v>
      </c>
      <c r="IM51" s="181">
        <f t="shared" si="137"/>
        <v>5.5</v>
      </c>
      <c r="IN51" s="157">
        <f t="shared" si="138"/>
        <v>623.16642857142847</v>
      </c>
      <c r="IO51" s="157">
        <f t="shared" si="139"/>
        <v>1097.3999999999999</v>
      </c>
      <c r="IP51" s="157">
        <f t="shared" si="42"/>
        <v>0</v>
      </c>
      <c r="IQ51" s="157">
        <f t="shared" si="43"/>
        <v>474.23357142857139</v>
      </c>
      <c r="IR51" s="157">
        <f t="shared" si="140"/>
        <v>1367.1000000000001</v>
      </c>
      <c r="IS51" s="157">
        <f t="shared" si="141"/>
        <v>1021.3288825735567</v>
      </c>
      <c r="IT51" s="157">
        <f t="shared" si="142"/>
        <v>1841.3335714285715</v>
      </c>
      <c r="IU51" s="200">
        <f t="shared" si="143"/>
        <v>1</v>
      </c>
      <c r="IV51" s="157">
        <f t="shared" si="144"/>
        <v>1021.3288825735567</v>
      </c>
      <c r="IW51" s="157">
        <f t="shared" si="145"/>
        <v>645.54794520547944</v>
      </c>
      <c r="IX51" s="162">
        <f t="shared" si="146"/>
        <v>1465.5526340604945</v>
      </c>
      <c r="IY51" s="157">
        <f t="shared" si="22"/>
        <v>875</v>
      </c>
      <c r="IZ51" s="157">
        <f t="shared" si="147"/>
        <v>474.23357142857145</v>
      </c>
      <c r="JA51" s="207">
        <f t="shared" si="148"/>
        <v>350</v>
      </c>
      <c r="JB51" s="207">
        <f t="shared" si="149"/>
        <v>316.15571428571428</v>
      </c>
      <c r="JC51" s="157">
        <f t="shared" si="150"/>
        <v>316.15571428571428</v>
      </c>
      <c r="JD51" s="157">
        <f t="shared" si="151"/>
        <v>474.23357142857139</v>
      </c>
      <c r="JE51" s="157">
        <f t="shared" si="152"/>
        <v>790.38928571428573</v>
      </c>
      <c r="JF51" s="168">
        <f t="shared" si="153"/>
        <v>91.052845714285667</v>
      </c>
      <c r="JG51" s="168">
        <f t="shared" si="154"/>
        <v>136.57926857142851</v>
      </c>
      <c r="JH51" s="168">
        <f t="shared" si="155"/>
        <v>227.63211428571418</v>
      </c>
      <c r="JI51" s="157">
        <f t="shared" si="156"/>
        <v>675.16334834620875</v>
      </c>
      <c r="JJ51" s="168">
        <f t="shared" si="157"/>
        <v>0</v>
      </c>
      <c r="JK51" s="168">
        <f t="shared" si="158"/>
        <v>294.14271818118419</v>
      </c>
      <c r="JL51" s="168">
        <f t="shared" si="159"/>
        <v>422.07915860942228</v>
      </c>
      <c r="JM51" s="168">
        <f t="shared" si="160"/>
        <v>194.44704432370804</v>
      </c>
      <c r="JN51" s="168">
        <f t="shared" si="161"/>
        <v>895.69380821917775</v>
      </c>
      <c r="JO51" s="157">
        <f t="shared" si="162"/>
        <v>0</v>
      </c>
      <c r="JP51" s="168">
        <f t="shared" si="163"/>
        <v>136.57926857142851</v>
      </c>
      <c r="JR51" s="168">
        <f t="shared" si="164"/>
        <v>316.05119999999988</v>
      </c>
      <c r="JS51" s="168">
        <f t="shared" si="165"/>
        <v>136.57926857142851</v>
      </c>
      <c r="JT51" s="181"/>
      <c r="JW51" s="168">
        <f t="shared" ref="JW51:JX51" si="309">JW50</f>
        <v>2.5</v>
      </c>
      <c r="JX51" s="161">
        <f t="shared" si="309"/>
        <v>350</v>
      </c>
      <c r="JY51" s="161">
        <f t="shared" si="44"/>
        <v>525</v>
      </c>
      <c r="JZ51" s="161">
        <f t="shared" si="45"/>
        <v>875</v>
      </c>
      <c r="KA51" s="161">
        <v>287.99999999999989</v>
      </c>
      <c r="KB51" s="168">
        <f t="shared" si="166"/>
        <v>2.5</v>
      </c>
      <c r="KC51" s="161">
        <v>316.15571428571428</v>
      </c>
      <c r="KD51" s="161">
        <v>474.23357142857139</v>
      </c>
      <c r="KE51" s="161">
        <v>790.38928571428573</v>
      </c>
      <c r="KF51" s="168">
        <f t="shared" ref="KF51" si="310">KF50</f>
        <v>0.56785714285714284</v>
      </c>
      <c r="KG51" s="154">
        <f t="shared" si="167"/>
        <v>21</v>
      </c>
      <c r="KH51" s="154">
        <f t="shared" si="168"/>
        <v>5.5</v>
      </c>
      <c r="KI51" s="181">
        <f t="shared" si="169"/>
        <v>12.198214285714286</v>
      </c>
      <c r="KJ51" s="181">
        <f t="shared" si="170"/>
        <v>15.298214285714286</v>
      </c>
      <c r="KK51" s="181">
        <f t="shared" si="171"/>
        <v>5.5000000000000009</v>
      </c>
      <c r="KL51" s="181">
        <f t="shared" si="172"/>
        <v>15.298214285714286</v>
      </c>
      <c r="KM51" s="181">
        <f t="shared" si="173"/>
        <v>15.298214285714286</v>
      </c>
      <c r="KN51" s="181">
        <f t="shared" si="253"/>
        <v>0</v>
      </c>
      <c r="KO51" s="181">
        <f t="shared" si="174"/>
        <v>5.5</v>
      </c>
      <c r="KP51" s="157">
        <f t="shared" si="175"/>
        <v>623.16642857142847</v>
      </c>
      <c r="KQ51" s="157">
        <f t="shared" si="46"/>
        <v>1097.3999999999999</v>
      </c>
      <c r="KR51" s="157">
        <f t="shared" si="176"/>
        <v>0</v>
      </c>
      <c r="KS51" s="157">
        <f t="shared" si="177"/>
        <v>474.23357142857139</v>
      </c>
      <c r="KT51" s="157">
        <f t="shared" si="178"/>
        <v>1367.1000000000001</v>
      </c>
      <c r="KU51" s="157">
        <f t="shared" si="179"/>
        <v>1021.3288825735567</v>
      </c>
      <c r="KV51" s="157">
        <f t="shared" si="180"/>
        <v>1841.3335714285715</v>
      </c>
      <c r="KW51" s="200">
        <f t="shared" si="181"/>
        <v>1</v>
      </c>
      <c r="KX51" s="157">
        <f t="shared" si="182"/>
        <v>1021.3288825735567</v>
      </c>
      <c r="KY51" s="157">
        <f t="shared" si="183"/>
        <v>645.54794520547944</v>
      </c>
      <c r="KZ51" s="162">
        <f t="shared" si="47"/>
        <v>1465.5526340604945</v>
      </c>
      <c r="LA51" s="157">
        <f t="shared" si="184"/>
        <v>875</v>
      </c>
      <c r="LB51" s="157">
        <f t="shared" si="185"/>
        <v>474.23357142857145</v>
      </c>
      <c r="LC51" s="207">
        <f t="shared" si="186"/>
        <v>350</v>
      </c>
      <c r="LD51" s="207">
        <f t="shared" si="187"/>
        <v>316.15571428571428</v>
      </c>
      <c r="LE51" s="157">
        <f t="shared" si="188"/>
        <v>316.15571428571428</v>
      </c>
      <c r="LF51" s="157">
        <f t="shared" si="189"/>
        <v>474.23357142857139</v>
      </c>
      <c r="LG51" s="157">
        <f t="shared" si="190"/>
        <v>790.38928571428573</v>
      </c>
      <c r="LH51" s="168">
        <f t="shared" si="191"/>
        <v>91.052845714285667</v>
      </c>
      <c r="LI51" s="168">
        <f t="shared" si="192"/>
        <v>136.57926857142851</v>
      </c>
      <c r="LJ51" s="168">
        <f t="shared" si="193"/>
        <v>227.63211428571418</v>
      </c>
      <c r="LK51" s="157">
        <f t="shared" si="194"/>
        <v>675.16334834620875</v>
      </c>
      <c r="LL51" s="168">
        <f t="shared" si="195"/>
        <v>0</v>
      </c>
      <c r="LM51" s="168">
        <f t="shared" si="196"/>
        <v>294.14271818118419</v>
      </c>
      <c r="LN51" s="168">
        <f t="shared" si="197"/>
        <v>422.07915860942228</v>
      </c>
      <c r="LO51" s="168">
        <f t="shared" si="198"/>
        <v>194.44704432370804</v>
      </c>
      <c r="LP51" s="168">
        <f t="shared" si="199"/>
        <v>895.69380821917775</v>
      </c>
      <c r="LQ51" s="157">
        <f t="shared" si="200"/>
        <v>0</v>
      </c>
      <c r="LR51" s="168">
        <f t="shared" si="201"/>
        <v>136.57926857142851</v>
      </c>
      <c r="LT51" s="168">
        <f t="shared" si="202"/>
        <v>316.05119999999988</v>
      </c>
      <c r="LU51" s="168">
        <f t="shared" si="203"/>
        <v>136.57926857142851</v>
      </c>
      <c r="LV51" s="181"/>
      <c r="LY51" s="168">
        <f t="shared" si="291"/>
        <v>2.5</v>
      </c>
      <c r="LZ51" s="161">
        <f t="shared" si="291"/>
        <v>350</v>
      </c>
      <c r="MA51" s="161">
        <f t="shared" si="48"/>
        <v>525</v>
      </c>
      <c r="MB51" s="161">
        <f t="shared" si="49"/>
        <v>875</v>
      </c>
      <c r="MC51" s="161">
        <v>287.99999999999989</v>
      </c>
      <c r="MD51" s="168">
        <f t="shared" si="204"/>
        <v>2.5</v>
      </c>
      <c r="ME51" s="161">
        <v>350</v>
      </c>
      <c r="MF51" s="161">
        <v>525</v>
      </c>
      <c r="MG51" s="161">
        <v>875</v>
      </c>
      <c r="MH51" s="168">
        <f t="shared" si="292"/>
        <v>0.56785714285714284</v>
      </c>
      <c r="MI51" s="154">
        <f t="shared" si="205"/>
        <v>21</v>
      </c>
      <c r="MJ51" s="181">
        <f t="shared" si="206"/>
        <v>13.584745762711865</v>
      </c>
      <c r="MK51" s="181">
        <f t="shared" si="207"/>
        <v>8.9937651331719124</v>
      </c>
      <c r="ML51" s="154">
        <f t="shared" si="208"/>
        <v>5.5</v>
      </c>
      <c r="MM51" s="181">
        <f t="shared" si="209"/>
        <v>10.610714285714288</v>
      </c>
      <c r="MN51" s="181">
        <f t="shared" si="210"/>
        <v>10.610714285714288</v>
      </c>
      <c r="MO51" s="181">
        <f t="shared" si="211"/>
        <v>15</v>
      </c>
      <c r="MP51" s="181">
        <f t="shared" si="212"/>
        <v>5.5</v>
      </c>
      <c r="MQ51" s="157">
        <f t="shared" si="50"/>
        <v>325.04142857142864</v>
      </c>
      <c r="MR51" s="157">
        <f t="shared" si="213"/>
        <v>1097.3999999999999</v>
      </c>
      <c r="MS51" s="157">
        <f t="shared" si="214"/>
        <v>279.15857142857129</v>
      </c>
      <c r="MT51" s="157">
        <f t="shared" si="215"/>
        <v>493.19999999999987</v>
      </c>
      <c r="MU51" s="157">
        <f t="shared" si="216"/>
        <v>1367.1000000000001</v>
      </c>
      <c r="MV51" s="157">
        <f t="shared" si="217"/>
        <v>1021.3288825735567</v>
      </c>
      <c r="MW51" s="157">
        <f t="shared" si="218"/>
        <v>1860.3</v>
      </c>
      <c r="MX51" s="200">
        <f t="shared" si="219"/>
        <v>1</v>
      </c>
      <c r="MY51" s="157">
        <f t="shared" si="220"/>
        <v>1021.3288825735567</v>
      </c>
      <c r="MZ51" s="157">
        <f t="shared" si="221"/>
        <v>645.54794520547944</v>
      </c>
      <c r="NA51" s="162">
        <f t="shared" si="222"/>
        <v>1763.6776340604943</v>
      </c>
      <c r="NB51" s="157">
        <f t="shared" si="223"/>
        <v>875</v>
      </c>
      <c r="NC51" s="157">
        <f t="shared" si="224"/>
        <v>525</v>
      </c>
      <c r="ND51" s="207">
        <f t="shared" si="51"/>
        <v>350</v>
      </c>
      <c r="NE51" s="207">
        <f t="shared" si="225"/>
        <v>350</v>
      </c>
      <c r="NF51" s="157">
        <f t="shared" si="226"/>
        <v>350</v>
      </c>
      <c r="NG51" s="157">
        <f t="shared" si="52"/>
        <v>525</v>
      </c>
      <c r="NH51" s="157">
        <f t="shared" si="53"/>
        <v>875</v>
      </c>
      <c r="NI51" s="168">
        <f t="shared" si="227"/>
        <v>100.79999999999995</v>
      </c>
      <c r="NJ51" s="168">
        <f t="shared" si="228"/>
        <v>151.19999999999996</v>
      </c>
      <c r="NK51" s="168">
        <f t="shared" si="229"/>
        <v>251.99999999999989</v>
      </c>
      <c r="NL51" s="157">
        <f t="shared" si="230"/>
        <v>888.67763406049426</v>
      </c>
      <c r="NM51" s="168">
        <f t="shared" si="231"/>
        <v>80.397668571428511</v>
      </c>
      <c r="NN51" s="168">
        <f t="shared" si="232"/>
        <v>294.14271818118419</v>
      </c>
      <c r="NO51" s="168">
        <f t="shared" si="233"/>
        <v>507.93915860942212</v>
      </c>
      <c r="NP51" s="168">
        <f t="shared" si="234"/>
        <v>255.93915860942224</v>
      </c>
      <c r="NQ51" s="168">
        <f t="shared" si="235"/>
        <v>895.69380821917775</v>
      </c>
      <c r="NR51" s="157">
        <f t="shared" si="236"/>
        <v>279.15857142857129</v>
      </c>
      <c r="NS51" s="168">
        <f t="shared" si="237"/>
        <v>151.19999999999996</v>
      </c>
      <c r="NT51" s="157">
        <f t="shared" si="238"/>
        <v>3110.0479452054797</v>
      </c>
      <c r="NU51" s="168">
        <f t="shared" si="239"/>
        <v>316.05119999999988</v>
      </c>
      <c r="NV51" s="168">
        <f t="shared" si="240"/>
        <v>222.43926857142839</v>
      </c>
      <c r="NW51" s="181"/>
      <c r="NX51" s="157"/>
      <c r="NY51" s="157"/>
      <c r="NZ51" s="157"/>
      <c r="OA51" s="157"/>
      <c r="OB51" s="157"/>
    </row>
    <row r="52" spans="1:392" ht="13" x14ac:dyDescent="0.3">
      <c r="A52" s="154">
        <v>55.707762557077622</v>
      </c>
      <c r="B52" s="154">
        <v>6.5</v>
      </c>
      <c r="C52" s="154">
        <f t="shared" si="241"/>
        <v>6.5</v>
      </c>
      <c r="D52" s="154">
        <v>13825.599999999999</v>
      </c>
      <c r="E52" s="200">
        <f t="shared" si="242"/>
        <v>47.186348122866889</v>
      </c>
      <c r="F52" s="181">
        <f t="shared" si="54"/>
        <v>1278.9000000000001</v>
      </c>
      <c r="G52" s="161">
        <f t="shared" si="258"/>
        <v>293</v>
      </c>
      <c r="H52" s="154">
        <f t="shared" si="55"/>
        <v>1.2789000000000001</v>
      </c>
      <c r="I52" s="161">
        <f t="shared" si="56"/>
        <v>4248.5</v>
      </c>
      <c r="J52" s="181">
        <f t="shared" si="57"/>
        <v>21</v>
      </c>
      <c r="K52" s="181">
        <f t="shared" si="58"/>
        <v>13.584745762711865</v>
      </c>
      <c r="L52" s="181">
        <f t="shared" si="59"/>
        <v>9.5616222760290555</v>
      </c>
      <c r="M52" s="181">
        <f t="shared" si="60"/>
        <v>6.5</v>
      </c>
      <c r="N52" s="181">
        <f t="shared" si="61"/>
        <v>10.97857142857143</v>
      </c>
      <c r="O52" s="181">
        <f t="shared" si="62"/>
        <v>10.97857142857143</v>
      </c>
      <c r="P52" s="181">
        <f t="shared" si="63"/>
        <v>15</v>
      </c>
      <c r="Q52" s="181">
        <f t="shared" si="64"/>
        <v>16.481716082659482</v>
      </c>
      <c r="R52" s="168">
        <f t="shared" si="65"/>
        <v>256.375</v>
      </c>
      <c r="S52" s="161">
        <f t="shared" si="66"/>
        <v>617.97524805435091</v>
      </c>
      <c r="T52" s="161">
        <f t="shared" si="67"/>
        <v>52.900124924614467</v>
      </c>
      <c r="U52" s="161">
        <f t="shared" si="68"/>
        <v>39.662429865324611</v>
      </c>
      <c r="V52" s="154">
        <f t="shared" si="69"/>
        <v>0.25576285714285707</v>
      </c>
      <c r="W52" s="154">
        <f t="shared" si="70"/>
        <v>0.94929339657750189</v>
      </c>
      <c r="X52" s="154">
        <f t="shared" si="71"/>
        <v>2.1091305394346449</v>
      </c>
      <c r="Y52" s="154">
        <f t="shared" si="72"/>
        <v>2.9510479452054796</v>
      </c>
      <c r="Z52" s="154">
        <f t="shared" si="73"/>
        <v>1.0266</v>
      </c>
      <c r="AA52" s="154">
        <f t="shared" si="74"/>
        <v>0.84191740577083463</v>
      </c>
      <c r="AB52" s="154">
        <f t="shared" si="26"/>
        <v>1.8242933965775021</v>
      </c>
      <c r="AC52" s="154">
        <f t="shared" si="27"/>
        <v>0.64554794520547942</v>
      </c>
      <c r="AD52" s="154">
        <f t="shared" si="28"/>
        <v>0.35</v>
      </c>
      <c r="AE52" s="154">
        <f t="shared" si="29"/>
        <v>0.52500000000000002</v>
      </c>
      <c r="AF52" s="154">
        <f t="shared" si="30"/>
        <v>0.875</v>
      </c>
      <c r="AG52" s="154">
        <f t="shared" si="75"/>
        <v>0.2848371428571429</v>
      </c>
      <c r="AH52" s="154">
        <f t="shared" si="76"/>
        <v>1.159837142857143</v>
      </c>
      <c r="AI52" s="154">
        <f t="shared" si="77"/>
        <v>0.58732876712328763</v>
      </c>
      <c r="AJ52" s="154">
        <f t="shared" si="78"/>
        <v>5.8219178082191785E-2</v>
      </c>
      <c r="AK52" s="154">
        <f t="shared" si="79"/>
        <v>0</v>
      </c>
      <c r="AL52" s="161">
        <f t="shared" si="80"/>
        <v>587.32876712328766</v>
      </c>
      <c r="AM52" s="161">
        <f t="shared" si="81"/>
        <v>58.219178082191782</v>
      </c>
      <c r="AN52" s="161">
        <f t="shared" si="82"/>
        <v>0</v>
      </c>
      <c r="AO52" s="161"/>
      <c r="AP52" s="154">
        <f t="shared" si="83"/>
        <v>0.64554794520547942</v>
      </c>
      <c r="AQ52" s="154">
        <f t="shared" si="84"/>
        <v>0.64554794520547942</v>
      </c>
      <c r="AR52" s="154">
        <f t="shared" si="85"/>
        <v>1.4156</v>
      </c>
      <c r="AS52" s="161"/>
      <c r="AT52" s="161"/>
      <c r="AU52" s="161"/>
      <c r="AV52" s="161"/>
      <c r="AW52" s="181"/>
      <c r="AX52" s="181"/>
      <c r="AY52" s="181"/>
      <c r="AZ52" s="181"/>
      <c r="BA52" s="181"/>
      <c r="BB52" s="161"/>
      <c r="BC52" s="161"/>
      <c r="BD52" s="161"/>
      <c r="BE52" s="181"/>
      <c r="BF52" s="168"/>
      <c r="BG52" s="181"/>
      <c r="BH52" s="168"/>
      <c r="BI52" s="168"/>
      <c r="BJ52" s="161"/>
      <c r="BK52" s="168"/>
      <c r="BL52" s="168"/>
      <c r="BM52" s="168"/>
      <c r="BN52" s="168"/>
      <c r="BO52" s="168">
        <f t="shared" si="86"/>
        <v>172.08732876712327</v>
      </c>
      <c r="BP52" s="168">
        <f t="shared" si="87"/>
        <v>17.058219178082194</v>
      </c>
      <c r="BQ52" s="168">
        <f t="shared" si="88"/>
        <v>0</v>
      </c>
      <c r="BR52" s="181"/>
      <c r="BS52" s="161"/>
      <c r="BT52" s="168"/>
      <c r="BU52" s="161"/>
      <c r="BV52" s="161"/>
      <c r="BW52" s="161"/>
      <c r="BX52" s="161"/>
      <c r="CB52" s="181">
        <f t="shared" si="89"/>
        <v>43.269951972819044</v>
      </c>
      <c r="CC52" s="181">
        <f t="shared" si="89"/>
        <v>0</v>
      </c>
      <c r="CD52" s="181">
        <f t="shared" si="89"/>
        <v>50.574462331973933</v>
      </c>
      <c r="CE52" s="181">
        <f t="shared" si="89"/>
        <v>0</v>
      </c>
      <c r="CF52" s="181">
        <f t="shared" si="89"/>
        <v>168.23241872579064</v>
      </c>
      <c r="CG52" s="181">
        <f t="shared" si="89"/>
        <v>0</v>
      </c>
      <c r="CH52" s="181">
        <f t="shared" si="89"/>
        <v>50.640572740251038</v>
      </c>
      <c r="CI52" s="181">
        <f t="shared" si="89"/>
        <v>0</v>
      </c>
      <c r="CJ52" s="182">
        <f t="shared" si="90"/>
        <v>312.71740577083466</v>
      </c>
      <c r="CK52" s="161">
        <f t="shared" si="91"/>
        <v>312.71740577083466</v>
      </c>
      <c r="CL52" s="161">
        <f t="shared" si="243"/>
        <v>529.19999999999993</v>
      </c>
      <c r="CM52" s="182">
        <f t="shared" si="92"/>
        <v>841.91740577083465</v>
      </c>
      <c r="CN52" s="157">
        <f t="shared" si="93"/>
        <v>91.626199890854551</v>
      </c>
      <c r="CO52" s="162">
        <f t="shared" si="94"/>
        <v>841.91740577083465</v>
      </c>
      <c r="FT52" s="168">
        <f t="shared" si="244"/>
        <v>2.5</v>
      </c>
      <c r="FU52" s="161">
        <f t="shared" si="245"/>
        <v>350</v>
      </c>
      <c r="FV52" s="161">
        <f t="shared" si="33"/>
        <v>525</v>
      </c>
      <c r="FW52" s="161">
        <f t="shared" si="95"/>
        <v>875</v>
      </c>
      <c r="FX52" s="161">
        <v>293</v>
      </c>
      <c r="FY52" s="168">
        <f t="shared" si="96"/>
        <v>2.5</v>
      </c>
      <c r="FZ52" s="161">
        <v>350</v>
      </c>
      <c r="GA52" s="161">
        <v>525</v>
      </c>
      <c r="GB52" s="161">
        <v>875</v>
      </c>
      <c r="GC52" s="168">
        <f t="shared" si="246"/>
        <v>0.56785714285714284</v>
      </c>
      <c r="GD52" s="154">
        <f t="shared" si="97"/>
        <v>21</v>
      </c>
      <c r="GE52" s="181">
        <f t="shared" si="98"/>
        <v>13.584745762711865</v>
      </c>
      <c r="GF52" s="181">
        <f t="shared" si="34"/>
        <v>9.5616222760290555</v>
      </c>
      <c r="GG52" s="154">
        <f t="shared" si="99"/>
        <v>6.5</v>
      </c>
      <c r="GH52" s="181">
        <f t="shared" si="100"/>
        <v>10.97857142857143</v>
      </c>
      <c r="GI52" s="181">
        <f t="shared" si="101"/>
        <v>24.736433063791559</v>
      </c>
      <c r="GJ52" s="181">
        <f t="shared" si="102"/>
        <v>24.736433063791559</v>
      </c>
      <c r="GK52" s="181">
        <f t="shared" si="103"/>
        <v>6.5</v>
      </c>
      <c r="GL52" s="157">
        <f t="shared" si="104"/>
        <v>284.83714285714291</v>
      </c>
      <c r="GM52" s="157">
        <f t="shared" si="105"/>
        <v>1026.5999999999999</v>
      </c>
      <c r="GN52" s="157">
        <f t="shared" si="106"/>
        <v>0</v>
      </c>
      <c r="GO52" s="157">
        <f t="shared" si="107"/>
        <v>741.762857142857</v>
      </c>
      <c r="GP52" s="157">
        <f t="shared" si="108"/>
        <v>1278.9000000000001</v>
      </c>
      <c r="GQ52" s="157">
        <f t="shared" si="109"/>
        <v>841.91740577083465</v>
      </c>
      <c r="GR52" s="157">
        <f t="shared" si="110"/>
        <v>2020.6628571428571</v>
      </c>
      <c r="GS52" s="200">
        <f t="shared" si="111"/>
        <v>1</v>
      </c>
      <c r="GT52" s="157">
        <f t="shared" si="112"/>
        <v>841.91740577083465</v>
      </c>
      <c r="GU52" s="157">
        <f t="shared" si="113"/>
        <v>645.54794520547944</v>
      </c>
      <c r="GV52" s="162">
        <f t="shared" si="114"/>
        <v>1824.2933965775021</v>
      </c>
      <c r="GW52" s="157">
        <f t="shared" si="115"/>
        <v>875</v>
      </c>
      <c r="GX52" s="157">
        <f t="shared" si="247"/>
        <v>525</v>
      </c>
      <c r="GY52" s="207">
        <f t="shared" si="35"/>
        <v>350</v>
      </c>
      <c r="GZ52" s="207">
        <f t="shared" si="116"/>
        <v>350</v>
      </c>
      <c r="HA52" s="157">
        <f t="shared" si="117"/>
        <v>350</v>
      </c>
      <c r="HB52" s="157">
        <f t="shared" si="36"/>
        <v>525</v>
      </c>
      <c r="HC52" s="157">
        <f t="shared" si="37"/>
        <v>875</v>
      </c>
      <c r="HD52" s="168">
        <f t="shared" si="38"/>
        <v>102.55</v>
      </c>
      <c r="HE52" s="168">
        <f t="shared" si="118"/>
        <v>153.82500000000002</v>
      </c>
      <c r="HF52" s="168">
        <f t="shared" si="39"/>
        <v>256.375</v>
      </c>
      <c r="HG52" s="157">
        <f t="shared" si="119"/>
        <v>949.29339657750211</v>
      </c>
      <c r="HH52" s="168">
        <f t="shared" si="120"/>
        <v>0</v>
      </c>
      <c r="HI52" s="168">
        <f t="shared" si="121"/>
        <v>246.68179989085453</v>
      </c>
      <c r="HJ52" s="168">
        <f t="shared" si="122"/>
        <v>534.51796519720813</v>
      </c>
      <c r="HK52" s="168">
        <f t="shared" si="123"/>
        <v>278.14296519720813</v>
      </c>
      <c r="HL52" s="168">
        <f t="shared" si="124"/>
        <v>864.65704794520559</v>
      </c>
      <c r="HM52" s="157">
        <f t="shared" si="125"/>
        <v>875.00000000000023</v>
      </c>
      <c r="HN52" s="168">
        <f t="shared" si="126"/>
        <v>153.82500000000002</v>
      </c>
      <c r="HP52" s="168">
        <f t="shared" si="127"/>
        <v>300.79379999999998</v>
      </c>
      <c r="HQ52" s="168">
        <f t="shared" si="128"/>
        <v>217.33651714285708</v>
      </c>
      <c r="HR52" s="181"/>
      <c r="HU52" s="168">
        <f t="shared" si="287"/>
        <v>2.5</v>
      </c>
      <c r="HV52" s="161">
        <f t="shared" si="287"/>
        <v>350</v>
      </c>
      <c r="HW52" s="161">
        <f t="shared" si="40"/>
        <v>525</v>
      </c>
      <c r="HX52" s="161">
        <f t="shared" si="41"/>
        <v>875</v>
      </c>
      <c r="HY52" s="161">
        <v>293</v>
      </c>
      <c r="HZ52" s="168">
        <f t="shared" si="129"/>
        <v>2.5</v>
      </c>
      <c r="IA52" s="161">
        <v>295.75857142857143</v>
      </c>
      <c r="IB52" s="161">
        <v>443.63785714285711</v>
      </c>
      <c r="IC52" s="161">
        <v>739.3964285714286</v>
      </c>
      <c r="ID52" s="168">
        <f t="shared" si="288"/>
        <v>0.56785714285714284</v>
      </c>
      <c r="IE52" s="154">
        <f t="shared" si="130"/>
        <v>21</v>
      </c>
      <c r="IF52" s="154">
        <f t="shared" si="131"/>
        <v>6.5</v>
      </c>
      <c r="IG52" s="181">
        <f t="shared" si="132"/>
        <v>12.766071428571429</v>
      </c>
      <c r="IH52" s="181">
        <f t="shared" si="133"/>
        <v>15.666071428571428</v>
      </c>
      <c r="II52" s="181">
        <f t="shared" si="134"/>
        <v>6.5000000000000009</v>
      </c>
      <c r="IJ52" s="181">
        <f t="shared" si="135"/>
        <v>27.291801437556153</v>
      </c>
      <c r="IK52" s="181">
        <f t="shared" si="136"/>
        <v>27.291801437556153</v>
      </c>
      <c r="IL52" s="181">
        <f t="shared" si="250"/>
        <v>0</v>
      </c>
      <c r="IM52" s="181">
        <f t="shared" si="137"/>
        <v>6.5</v>
      </c>
      <c r="IN52" s="157">
        <f t="shared" si="138"/>
        <v>582.96214285714279</v>
      </c>
      <c r="IO52" s="157">
        <f t="shared" si="139"/>
        <v>1026.5999999999999</v>
      </c>
      <c r="IP52" s="157">
        <f t="shared" si="42"/>
        <v>0</v>
      </c>
      <c r="IQ52" s="157">
        <f t="shared" si="43"/>
        <v>443.63785714285711</v>
      </c>
      <c r="IR52" s="157">
        <f t="shared" si="140"/>
        <v>1278.9000000000001</v>
      </c>
      <c r="IS52" s="157">
        <f t="shared" si="141"/>
        <v>841.91740577083465</v>
      </c>
      <c r="IT52" s="157">
        <f t="shared" si="142"/>
        <v>1722.5378571428573</v>
      </c>
      <c r="IU52" s="200">
        <f t="shared" si="143"/>
        <v>1</v>
      </c>
      <c r="IV52" s="157">
        <f t="shared" si="144"/>
        <v>841.91740577083465</v>
      </c>
      <c r="IW52" s="157">
        <f t="shared" si="145"/>
        <v>645.54794520547944</v>
      </c>
      <c r="IX52" s="162">
        <f t="shared" si="146"/>
        <v>1526.1683965775023</v>
      </c>
      <c r="IY52" s="157">
        <f t="shared" si="22"/>
        <v>875</v>
      </c>
      <c r="IZ52" s="157">
        <f t="shared" si="147"/>
        <v>443.63785714285717</v>
      </c>
      <c r="JA52" s="207">
        <f t="shared" si="148"/>
        <v>350</v>
      </c>
      <c r="JB52" s="207">
        <f t="shared" si="149"/>
        <v>295.75857142857143</v>
      </c>
      <c r="JC52" s="157">
        <f t="shared" si="150"/>
        <v>295.75857142857143</v>
      </c>
      <c r="JD52" s="157">
        <f t="shared" si="151"/>
        <v>443.63785714285711</v>
      </c>
      <c r="JE52" s="157">
        <f t="shared" si="152"/>
        <v>739.3964285714286</v>
      </c>
      <c r="JF52" s="168">
        <f t="shared" si="153"/>
        <v>86.657261428571431</v>
      </c>
      <c r="JG52" s="168">
        <f t="shared" si="154"/>
        <v>129.98589214285715</v>
      </c>
      <c r="JH52" s="168">
        <f t="shared" si="155"/>
        <v>216.6431535714286</v>
      </c>
      <c r="JI52" s="157">
        <f t="shared" si="156"/>
        <v>786.77196800607373</v>
      </c>
      <c r="JJ52" s="168">
        <f t="shared" si="157"/>
        <v>0</v>
      </c>
      <c r="JK52" s="168">
        <f t="shared" si="158"/>
        <v>246.68179989085453</v>
      </c>
      <c r="JL52" s="168">
        <f t="shared" si="159"/>
        <v>447.1673401972082</v>
      </c>
      <c r="JM52" s="168">
        <f t="shared" si="160"/>
        <v>230.52418662577961</v>
      </c>
      <c r="JN52" s="168">
        <f t="shared" si="161"/>
        <v>864.65704794520559</v>
      </c>
      <c r="JO52" s="157">
        <f t="shared" si="162"/>
        <v>0</v>
      </c>
      <c r="JP52" s="168">
        <f t="shared" si="163"/>
        <v>129.98589214285715</v>
      </c>
      <c r="JR52" s="168">
        <f t="shared" si="164"/>
        <v>300.79379999999998</v>
      </c>
      <c r="JS52" s="168">
        <f t="shared" si="165"/>
        <v>129.98589214285715</v>
      </c>
      <c r="JT52" s="181"/>
      <c r="JW52" s="168">
        <f t="shared" ref="JW52:JX52" si="311">JW51</f>
        <v>2.5</v>
      </c>
      <c r="JX52" s="161">
        <f t="shared" si="311"/>
        <v>350</v>
      </c>
      <c r="JY52" s="161">
        <f t="shared" si="44"/>
        <v>525</v>
      </c>
      <c r="JZ52" s="161">
        <f t="shared" si="45"/>
        <v>875</v>
      </c>
      <c r="KA52" s="161">
        <v>293</v>
      </c>
      <c r="KB52" s="168">
        <f t="shared" si="166"/>
        <v>2.5</v>
      </c>
      <c r="KC52" s="161">
        <v>295.75857142857143</v>
      </c>
      <c r="KD52" s="161">
        <v>443.63785714285711</v>
      </c>
      <c r="KE52" s="161">
        <v>739.3964285714286</v>
      </c>
      <c r="KF52" s="168">
        <f t="shared" ref="KF52" si="312">KF51</f>
        <v>0.56785714285714284</v>
      </c>
      <c r="KG52" s="154">
        <f t="shared" si="167"/>
        <v>21</v>
      </c>
      <c r="KH52" s="154">
        <f t="shared" si="168"/>
        <v>6.5</v>
      </c>
      <c r="KI52" s="181">
        <f t="shared" si="169"/>
        <v>12.766071428571429</v>
      </c>
      <c r="KJ52" s="181">
        <f t="shared" si="170"/>
        <v>15.666071428571428</v>
      </c>
      <c r="KK52" s="181">
        <f t="shared" si="171"/>
        <v>6.5000000000000009</v>
      </c>
      <c r="KL52" s="181">
        <f t="shared" si="172"/>
        <v>15.666071428571428</v>
      </c>
      <c r="KM52" s="181">
        <f t="shared" si="173"/>
        <v>15.666071428571428</v>
      </c>
      <c r="KN52" s="181">
        <f t="shared" si="253"/>
        <v>0</v>
      </c>
      <c r="KO52" s="181">
        <f t="shared" si="174"/>
        <v>6.5</v>
      </c>
      <c r="KP52" s="157">
        <f t="shared" si="175"/>
        <v>582.96214285714279</v>
      </c>
      <c r="KQ52" s="157">
        <f t="shared" si="46"/>
        <v>1026.5999999999999</v>
      </c>
      <c r="KR52" s="157">
        <f t="shared" si="176"/>
        <v>0</v>
      </c>
      <c r="KS52" s="157">
        <f t="shared" si="177"/>
        <v>443.63785714285711</v>
      </c>
      <c r="KT52" s="157">
        <f t="shared" si="178"/>
        <v>1278.9000000000001</v>
      </c>
      <c r="KU52" s="157">
        <f t="shared" si="179"/>
        <v>841.91740577083465</v>
      </c>
      <c r="KV52" s="157">
        <f t="shared" si="180"/>
        <v>1722.5378571428573</v>
      </c>
      <c r="KW52" s="200">
        <f t="shared" si="181"/>
        <v>1</v>
      </c>
      <c r="KX52" s="157">
        <f t="shared" si="182"/>
        <v>841.91740577083465</v>
      </c>
      <c r="KY52" s="157">
        <f t="shared" si="183"/>
        <v>645.54794520547944</v>
      </c>
      <c r="KZ52" s="162">
        <f t="shared" si="47"/>
        <v>1526.1683965775023</v>
      </c>
      <c r="LA52" s="157">
        <f t="shared" si="184"/>
        <v>875</v>
      </c>
      <c r="LB52" s="157">
        <f t="shared" si="185"/>
        <v>443.63785714285717</v>
      </c>
      <c r="LC52" s="207">
        <f t="shared" si="186"/>
        <v>350</v>
      </c>
      <c r="LD52" s="207">
        <f t="shared" si="187"/>
        <v>295.75857142857143</v>
      </c>
      <c r="LE52" s="157">
        <f t="shared" si="188"/>
        <v>295.75857142857143</v>
      </c>
      <c r="LF52" s="157">
        <f t="shared" si="189"/>
        <v>443.63785714285711</v>
      </c>
      <c r="LG52" s="157">
        <f t="shared" si="190"/>
        <v>739.3964285714286</v>
      </c>
      <c r="LH52" s="168">
        <f t="shared" si="191"/>
        <v>86.657261428571431</v>
      </c>
      <c r="LI52" s="168">
        <f t="shared" si="192"/>
        <v>129.98589214285715</v>
      </c>
      <c r="LJ52" s="168">
        <f t="shared" si="193"/>
        <v>216.6431535714286</v>
      </c>
      <c r="LK52" s="157">
        <f t="shared" si="194"/>
        <v>786.77196800607373</v>
      </c>
      <c r="LL52" s="168">
        <f t="shared" si="195"/>
        <v>0</v>
      </c>
      <c r="LM52" s="168">
        <f t="shared" si="196"/>
        <v>246.68179989085453</v>
      </c>
      <c r="LN52" s="168">
        <f t="shared" si="197"/>
        <v>447.1673401972082</v>
      </c>
      <c r="LO52" s="168">
        <f t="shared" si="198"/>
        <v>230.52418662577961</v>
      </c>
      <c r="LP52" s="168">
        <f t="shared" si="199"/>
        <v>864.65704794520559</v>
      </c>
      <c r="LQ52" s="157">
        <f t="shared" si="200"/>
        <v>0</v>
      </c>
      <c r="LR52" s="168">
        <f t="shared" si="201"/>
        <v>129.98589214285715</v>
      </c>
      <c r="LT52" s="168">
        <f t="shared" si="202"/>
        <v>300.79379999999998</v>
      </c>
      <c r="LU52" s="168">
        <f t="shared" si="203"/>
        <v>129.98589214285715</v>
      </c>
      <c r="LV52" s="181"/>
      <c r="LY52" s="168">
        <f t="shared" si="291"/>
        <v>2.5</v>
      </c>
      <c r="LZ52" s="161">
        <f t="shared" si="291"/>
        <v>350</v>
      </c>
      <c r="MA52" s="161">
        <f t="shared" si="48"/>
        <v>525</v>
      </c>
      <c r="MB52" s="161">
        <f t="shared" si="49"/>
        <v>875</v>
      </c>
      <c r="MC52" s="161">
        <v>293</v>
      </c>
      <c r="MD52" s="168">
        <f t="shared" si="204"/>
        <v>2.5</v>
      </c>
      <c r="ME52" s="161">
        <v>350</v>
      </c>
      <c r="MF52" s="161">
        <v>525</v>
      </c>
      <c r="MG52" s="161">
        <v>875</v>
      </c>
      <c r="MH52" s="168">
        <f t="shared" si="292"/>
        <v>0.56785714285714284</v>
      </c>
      <c r="MI52" s="154">
        <f t="shared" si="205"/>
        <v>21</v>
      </c>
      <c r="MJ52" s="181">
        <f t="shared" si="206"/>
        <v>13.584745762711865</v>
      </c>
      <c r="MK52" s="181">
        <f t="shared" si="207"/>
        <v>9.5616222760290555</v>
      </c>
      <c r="ML52" s="154">
        <f t="shared" si="208"/>
        <v>6.5</v>
      </c>
      <c r="MM52" s="181">
        <f t="shared" si="209"/>
        <v>10.97857142857143</v>
      </c>
      <c r="MN52" s="181">
        <f t="shared" si="210"/>
        <v>10.97857142857143</v>
      </c>
      <c r="MO52" s="181">
        <f t="shared" si="211"/>
        <v>15</v>
      </c>
      <c r="MP52" s="181">
        <f t="shared" si="212"/>
        <v>6.5</v>
      </c>
      <c r="MQ52" s="157">
        <f t="shared" si="50"/>
        <v>284.83714285714291</v>
      </c>
      <c r="MR52" s="157">
        <f t="shared" si="213"/>
        <v>1026.5999999999999</v>
      </c>
      <c r="MS52" s="157">
        <f t="shared" si="214"/>
        <v>255.76285714285706</v>
      </c>
      <c r="MT52" s="157">
        <f t="shared" si="215"/>
        <v>485.99999999999994</v>
      </c>
      <c r="MU52" s="157">
        <f t="shared" si="216"/>
        <v>1278.9000000000001</v>
      </c>
      <c r="MV52" s="157">
        <f t="shared" si="217"/>
        <v>841.91740577083465</v>
      </c>
      <c r="MW52" s="157">
        <f t="shared" si="218"/>
        <v>1764.9</v>
      </c>
      <c r="MX52" s="200">
        <f t="shared" si="219"/>
        <v>1</v>
      </c>
      <c r="MY52" s="157">
        <f t="shared" si="220"/>
        <v>841.91740577083465</v>
      </c>
      <c r="MZ52" s="157">
        <f t="shared" si="221"/>
        <v>645.54794520547944</v>
      </c>
      <c r="NA52" s="162">
        <f t="shared" si="222"/>
        <v>1824.2933965775021</v>
      </c>
      <c r="NB52" s="157">
        <f t="shared" si="223"/>
        <v>875</v>
      </c>
      <c r="NC52" s="157">
        <f t="shared" si="224"/>
        <v>525</v>
      </c>
      <c r="ND52" s="207">
        <f t="shared" si="51"/>
        <v>350</v>
      </c>
      <c r="NE52" s="207">
        <f t="shared" si="225"/>
        <v>350</v>
      </c>
      <c r="NF52" s="157">
        <f t="shared" si="226"/>
        <v>350</v>
      </c>
      <c r="NG52" s="157">
        <f t="shared" si="52"/>
        <v>525</v>
      </c>
      <c r="NH52" s="157">
        <f t="shared" si="53"/>
        <v>875</v>
      </c>
      <c r="NI52" s="168">
        <f t="shared" si="227"/>
        <v>102.55</v>
      </c>
      <c r="NJ52" s="168">
        <f t="shared" si="228"/>
        <v>153.82500000000002</v>
      </c>
      <c r="NK52" s="168">
        <f t="shared" si="229"/>
        <v>256.375</v>
      </c>
      <c r="NL52" s="157">
        <f t="shared" si="230"/>
        <v>949.29339657750211</v>
      </c>
      <c r="NM52" s="168">
        <f t="shared" si="231"/>
        <v>74.938517142857123</v>
      </c>
      <c r="NN52" s="168">
        <f t="shared" si="232"/>
        <v>246.68179989085453</v>
      </c>
      <c r="NO52" s="168">
        <f t="shared" si="233"/>
        <v>534.51796519720813</v>
      </c>
      <c r="NP52" s="168">
        <f t="shared" si="234"/>
        <v>278.14296519720813</v>
      </c>
      <c r="NQ52" s="168">
        <f t="shared" si="235"/>
        <v>864.65704794520559</v>
      </c>
      <c r="NR52" s="157">
        <f t="shared" si="236"/>
        <v>255.762857142857</v>
      </c>
      <c r="NS52" s="168">
        <f t="shared" si="237"/>
        <v>153.82500000000002</v>
      </c>
      <c r="NT52" s="157">
        <f t="shared" si="238"/>
        <v>2951.0479452054797</v>
      </c>
      <c r="NU52" s="168">
        <f t="shared" si="239"/>
        <v>300.79379999999998</v>
      </c>
      <c r="NV52" s="168">
        <f t="shared" si="240"/>
        <v>217.33651714285708</v>
      </c>
      <c r="NW52" s="181"/>
      <c r="NX52" s="157"/>
      <c r="NY52" s="157"/>
      <c r="NZ52" s="157"/>
      <c r="OA52" s="157"/>
      <c r="OB52" s="157"/>
    </row>
    <row r="53" spans="1:392" ht="13" x14ac:dyDescent="0.3">
      <c r="A53" s="154">
        <v>59.006849315068486</v>
      </c>
      <c r="B53" s="154">
        <v>7.5</v>
      </c>
      <c r="C53" s="154">
        <f t="shared" si="241"/>
        <v>7.5</v>
      </c>
      <c r="D53" s="154">
        <v>21106.499999999996</v>
      </c>
      <c r="E53" s="200">
        <f t="shared" si="242"/>
        <v>73.032871972318418</v>
      </c>
      <c r="F53" s="181">
        <f t="shared" si="54"/>
        <v>1190.7</v>
      </c>
      <c r="G53" s="161">
        <f t="shared" si="258"/>
        <v>288.99999999999966</v>
      </c>
      <c r="H53" s="154">
        <f t="shared" si="55"/>
        <v>1.1907000000000001</v>
      </c>
      <c r="I53" s="161">
        <f t="shared" si="56"/>
        <v>3901.4999999999955</v>
      </c>
      <c r="J53" s="181">
        <f t="shared" si="57"/>
        <v>21</v>
      </c>
      <c r="K53" s="181">
        <f t="shared" si="58"/>
        <v>13.584745762711865</v>
      </c>
      <c r="L53" s="181">
        <f t="shared" si="59"/>
        <v>10.129479418886199</v>
      </c>
      <c r="M53" s="181">
        <f t="shared" si="60"/>
        <v>7.5</v>
      </c>
      <c r="N53" s="181">
        <f t="shared" si="61"/>
        <v>11.346428571428572</v>
      </c>
      <c r="O53" s="181">
        <f t="shared" si="62"/>
        <v>11.346428571428572</v>
      </c>
      <c r="P53" s="181">
        <f t="shared" si="63"/>
        <v>15</v>
      </c>
      <c r="Q53" s="181">
        <f t="shared" si="64"/>
        <v>16.849573225516622</v>
      </c>
      <c r="R53" s="168">
        <f t="shared" si="65"/>
        <v>252.87499999999972</v>
      </c>
      <c r="S53" s="161">
        <f t="shared" si="66"/>
        <v>514.08425249609195</v>
      </c>
      <c r="T53" s="161">
        <f t="shared" si="67"/>
        <v>51.40012492461446</v>
      </c>
      <c r="U53" s="161">
        <f t="shared" si="68"/>
        <v>35.469154778791136</v>
      </c>
      <c r="V53" s="154">
        <f t="shared" si="69"/>
        <v>0.23236714285714283</v>
      </c>
      <c r="W53" s="154">
        <f t="shared" si="70"/>
        <v>0.6592053867882588</v>
      </c>
      <c r="X53" s="154">
        <f t="shared" si="71"/>
        <v>1.7788382439311161</v>
      </c>
      <c r="Y53" s="154">
        <f>H53+Z53+AC53</f>
        <v>2.7920479452054794</v>
      </c>
      <c r="Z53" s="154">
        <f t="shared" si="73"/>
        <v>0.95579999999999998</v>
      </c>
      <c r="AA53" s="154">
        <f t="shared" si="74"/>
        <v>1.0132097012743633</v>
      </c>
      <c r="AB53" s="154">
        <f t="shared" si="26"/>
        <v>1.5342053867882592</v>
      </c>
      <c r="AC53" s="154">
        <f t="shared" si="27"/>
        <v>0.64554794520547942</v>
      </c>
      <c r="AD53" s="154">
        <f t="shared" si="28"/>
        <v>0.35</v>
      </c>
      <c r="AE53" s="154">
        <f t="shared" si="29"/>
        <v>0.52500000000000002</v>
      </c>
      <c r="AF53" s="154">
        <f t="shared" si="30"/>
        <v>0.875</v>
      </c>
      <c r="AG53" s="154">
        <f t="shared" si="75"/>
        <v>0.24463285714285718</v>
      </c>
      <c r="AH53" s="154">
        <f t="shared" si="76"/>
        <v>1.1196328571428571</v>
      </c>
      <c r="AI53" s="154">
        <f t="shared" si="77"/>
        <v>0.58732876712328763</v>
      </c>
      <c r="AJ53" s="154">
        <f t="shared" si="78"/>
        <v>5.8219178082191785E-2</v>
      </c>
      <c r="AK53" s="154">
        <f t="shared" si="79"/>
        <v>0</v>
      </c>
      <c r="AL53" s="161">
        <f t="shared" si="80"/>
        <v>587.32876712328766</v>
      </c>
      <c r="AM53" s="161">
        <f t="shared" si="81"/>
        <v>58.219178082191782</v>
      </c>
      <c r="AN53" s="161">
        <f t="shared" si="82"/>
        <v>0</v>
      </c>
      <c r="AO53" s="161"/>
      <c r="AP53" s="154">
        <f t="shared" si="83"/>
        <v>0.64554794520547942</v>
      </c>
      <c r="AQ53" s="154">
        <f t="shared" si="84"/>
        <v>0.64554794520547942</v>
      </c>
      <c r="AR53" s="154">
        <f t="shared" si="85"/>
        <v>1.3519999999999999</v>
      </c>
      <c r="AS53" s="161"/>
      <c r="AT53" s="161"/>
      <c r="AU53" s="161"/>
      <c r="AV53" s="161"/>
      <c r="AW53" s="181"/>
      <c r="AX53" s="181"/>
      <c r="AY53" s="181"/>
      <c r="AZ53" s="181"/>
      <c r="BA53" s="181"/>
      <c r="BB53" s="161"/>
      <c r="BC53" s="161"/>
      <c r="BD53" s="161"/>
      <c r="BE53" s="181"/>
      <c r="BF53" s="168"/>
      <c r="BG53" s="181"/>
      <c r="BH53" s="168"/>
      <c r="BI53" s="168"/>
      <c r="BJ53" s="161"/>
      <c r="BK53" s="168"/>
      <c r="BL53" s="168"/>
      <c r="BM53" s="168"/>
      <c r="BN53" s="168"/>
      <c r="BO53" s="168">
        <f t="shared" si="86"/>
        <v>169.73801369862991</v>
      </c>
      <c r="BP53" s="168">
        <f t="shared" si="87"/>
        <v>16.825342465753405</v>
      </c>
      <c r="BQ53" s="168">
        <f t="shared" si="88"/>
        <v>0</v>
      </c>
      <c r="BR53" s="181"/>
      <c r="BS53" s="161"/>
      <c r="BT53" s="168"/>
      <c r="BU53" s="161"/>
      <c r="BV53" s="161"/>
      <c r="BW53" s="161"/>
      <c r="BX53" s="161"/>
      <c r="CB53" s="181">
        <f t="shared" si="89"/>
        <v>66.971253093176657</v>
      </c>
      <c r="CC53" s="181">
        <f t="shared" si="89"/>
        <v>0</v>
      </c>
      <c r="CD53" s="181">
        <f t="shared" si="89"/>
        <v>78.276840219596153</v>
      </c>
      <c r="CE53" s="181">
        <f t="shared" si="89"/>
        <v>0</v>
      </c>
      <c r="CF53" s="181">
        <f t="shared" si="89"/>
        <v>260.38244507504061</v>
      </c>
      <c r="CG53" s="181">
        <f t="shared" si="89"/>
        <v>0</v>
      </c>
      <c r="CH53" s="181">
        <f t="shared" si="89"/>
        <v>78.379162886549892</v>
      </c>
      <c r="CI53" s="181">
        <f t="shared" si="89"/>
        <v>0</v>
      </c>
      <c r="CJ53" s="182">
        <f t="shared" si="90"/>
        <v>484.00970127436335</v>
      </c>
      <c r="CK53" s="161">
        <f t="shared" si="91"/>
        <v>484.00970127436335</v>
      </c>
      <c r="CL53" s="161">
        <f t="shared" si="243"/>
        <v>529.19999999999993</v>
      </c>
      <c r="CM53" s="182">
        <f t="shared" si="92"/>
        <v>1013.2097012743633</v>
      </c>
      <c r="CN53" s="157">
        <f t="shared" si="93"/>
        <v>139.87880366829083</v>
      </c>
      <c r="CO53" s="162">
        <f t="shared" si="94"/>
        <v>1013.2097012743633</v>
      </c>
      <c r="FT53" s="168">
        <f t="shared" si="244"/>
        <v>2.5</v>
      </c>
      <c r="FU53" s="161">
        <f t="shared" si="245"/>
        <v>350</v>
      </c>
      <c r="FV53" s="161">
        <f t="shared" si="33"/>
        <v>525</v>
      </c>
      <c r="FW53" s="161">
        <f t="shared" si="95"/>
        <v>875</v>
      </c>
      <c r="FX53" s="161">
        <v>288.99999999999966</v>
      </c>
      <c r="FY53" s="168">
        <f t="shared" si="96"/>
        <v>2.5</v>
      </c>
      <c r="FZ53" s="161">
        <v>350</v>
      </c>
      <c r="GA53" s="161">
        <v>525</v>
      </c>
      <c r="GB53" s="161">
        <v>875</v>
      </c>
      <c r="GC53" s="168">
        <f t="shared" si="246"/>
        <v>0.56785714285714284</v>
      </c>
      <c r="GD53" s="154">
        <f t="shared" si="97"/>
        <v>21</v>
      </c>
      <c r="GE53" s="181">
        <f t="shared" si="98"/>
        <v>13.584745762711865</v>
      </c>
      <c r="GF53" s="181">
        <f t="shared" si="34"/>
        <v>10.129479418886199</v>
      </c>
      <c r="GG53" s="154">
        <f t="shared" si="99"/>
        <v>7.5</v>
      </c>
      <c r="GH53" s="181">
        <f t="shared" si="100"/>
        <v>11.346428571428572</v>
      </c>
      <c r="GI53" s="181">
        <f t="shared" si="101"/>
        <v>25.104290206648699</v>
      </c>
      <c r="GJ53" s="181">
        <f t="shared" si="102"/>
        <v>25.104290206648699</v>
      </c>
      <c r="GK53" s="181">
        <f t="shared" si="103"/>
        <v>7.5</v>
      </c>
      <c r="GL53" s="157">
        <f t="shared" si="104"/>
        <v>244.63285714285718</v>
      </c>
      <c r="GM53" s="157">
        <f t="shared" si="105"/>
        <v>955.8</v>
      </c>
      <c r="GN53" s="157">
        <f t="shared" si="106"/>
        <v>0</v>
      </c>
      <c r="GO53" s="157">
        <f t="shared" si="107"/>
        <v>711.16714285714284</v>
      </c>
      <c r="GP53" s="157">
        <f t="shared" si="108"/>
        <v>1190.7</v>
      </c>
      <c r="GQ53" s="157">
        <f t="shared" si="109"/>
        <v>1013.2097012743633</v>
      </c>
      <c r="GR53" s="157">
        <f t="shared" si="110"/>
        <v>1901.8671428571429</v>
      </c>
      <c r="GS53" s="200">
        <f t="shared" si="111"/>
        <v>1</v>
      </c>
      <c r="GT53" s="157">
        <f t="shared" si="112"/>
        <v>1013.2097012743633</v>
      </c>
      <c r="GU53" s="157">
        <f t="shared" si="113"/>
        <v>645.54794520547944</v>
      </c>
      <c r="GV53" s="162">
        <f t="shared" si="114"/>
        <v>1534.2053867882591</v>
      </c>
      <c r="GW53" s="157">
        <f t="shared" si="115"/>
        <v>875</v>
      </c>
      <c r="GX53" s="157">
        <f t="shared" si="247"/>
        <v>525</v>
      </c>
      <c r="GY53" s="207">
        <f t="shared" si="35"/>
        <v>350</v>
      </c>
      <c r="GZ53" s="207">
        <f t="shared" si="116"/>
        <v>350</v>
      </c>
      <c r="HA53" s="157">
        <f t="shared" si="117"/>
        <v>350</v>
      </c>
      <c r="HB53" s="157">
        <f t="shared" si="36"/>
        <v>525</v>
      </c>
      <c r="HC53" s="157">
        <f t="shared" si="37"/>
        <v>875</v>
      </c>
      <c r="HD53" s="168">
        <f t="shared" si="38"/>
        <v>101.14999999999988</v>
      </c>
      <c r="HE53" s="168">
        <f t="shared" si="118"/>
        <v>151.72499999999982</v>
      </c>
      <c r="HF53" s="168">
        <f t="shared" si="39"/>
        <v>252.87499999999972</v>
      </c>
      <c r="HG53" s="157">
        <f t="shared" si="119"/>
        <v>659.20538678825915</v>
      </c>
      <c r="HH53" s="168">
        <f t="shared" si="120"/>
        <v>0</v>
      </c>
      <c r="HI53" s="168">
        <f t="shared" si="121"/>
        <v>292.81760366829064</v>
      </c>
      <c r="HJ53" s="168">
        <f t="shared" si="122"/>
        <v>443.38535678180642</v>
      </c>
      <c r="HK53" s="168">
        <f t="shared" si="123"/>
        <v>190.51035678180665</v>
      </c>
      <c r="HL53" s="168">
        <f t="shared" si="124"/>
        <v>806.90185616438271</v>
      </c>
      <c r="HM53" s="157">
        <f t="shared" si="125"/>
        <v>875</v>
      </c>
      <c r="HN53" s="168">
        <f t="shared" si="126"/>
        <v>151.72499999999982</v>
      </c>
      <c r="HP53" s="168">
        <f t="shared" si="127"/>
        <v>276.22619999999966</v>
      </c>
      <c r="HQ53" s="168">
        <f t="shared" si="128"/>
        <v>205.52730428571405</v>
      </c>
      <c r="HR53" s="181"/>
      <c r="HU53" s="168">
        <f t="shared" si="287"/>
        <v>2.5</v>
      </c>
      <c r="HV53" s="161">
        <f t="shared" si="287"/>
        <v>350</v>
      </c>
      <c r="HW53" s="161">
        <f t="shared" si="40"/>
        <v>525</v>
      </c>
      <c r="HX53" s="161">
        <f t="shared" si="41"/>
        <v>875</v>
      </c>
      <c r="HY53" s="161">
        <v>288.99999999999966</v>
      </c>
      <c r="HZ53" s="168">
        <f t="shared" si="129"/>
        <v>2.5</v>
      </c>
      <c r="IA53" s="161">
        <v>275.36142857142858</v>
      </c>
      <c r="IB53" s="161">
        <v>413.04214285714284</v>
      </c>
      <c r="IC53" s="161">
        <v>688.40357142857147</v>
      </c>
      <c r="ID53" s="168">
        <f t="shared" si="288"/>
        <v>0.56785714285714284</v>
      </c>
      <c r="IE53" s="154">
        <f t="shared" si="130"/>
        <v>21</v>
      </c>
      <c r="IF53" s="154">
        <f t="shared" si="131"/>
        <v>7.5</v>
      </c>
      <c r="IG53" s="181">
        <f t="shared" si="132"/>
        <v>13.333928571428572</v>
      </c>
      <c r="IH53" s="181">
        <f t="shared" si="133"/>
        <v>16.033928571428568</v>
      </c>
      <c r="II53" s="181">
        <f t="shared" si="134"/>
        <v>7.5000000000000009</v>
      </c>
      <c r="IJ53" s="181">
        <f t="shared" si="135"/>
        <v>26.85788409703504</v>
      </c>
      <c r="IK53" s="181">
        <f t="shared" si="136"/>
        <v>26.85788409703504</v>
      </c>
      <c r="IL53" s="181">
        <f t="shared" si="250"/>
        <v>0</v>
      </c>
      <c r="IM53" s="181">
        <f t="shared" si="137"/>
        <v>7.5</v>
      </c>
      <c r="IN53" s="157">
        <f t="shared" si="138"/>
        <v>542.75785714285712</v>
      </c>
      <c r="IO53" s="157">
        <f t="shared" si="139"/>
        <v>955.8</v>
      </c>
      <c r="IP53" s="157">
        <f t="shared" si="42"/>
        <v>0</v>
      </c>
      <c r="IQ53" s="157">
        <f t="shared" si="43"/>
        <v>413.04214285714284</v>
      </c>
      <c r="IR53" s="157">
        <f t="shared" si="140"/>
        <v>1190.7</v>
      </c>
      <c r="IS53" s="157">
        <f t="shared" si="141"/>
        <v>1013.2097012743633</v>
      </c>
      <c r="IT53" s="157">
        <f t="shared" si="142"/>
        <v>1603.7421428571429</v>
      </c>
      <c r="IU53" s="200">
        <f t="shared" si="143"/>
        <v>1</v>
      </c>
      <c r="IV53" s="157">
        <f t="shared" si="144"/>
        <v>1013.2097012743633</v>
      </c>
      <c r="IW53" s="157">
        <f t="shared" si="145"/>
        <v>645.54794520547944</v>
      </c>
      <c r="IX53" s="162">
        <f t="shared" si="146"/>
        <v>1236.0803867882591</v>
      </c>
      <c r="IY53" s="157">
        <f t="shared" si="22"/>
        <v>875</v>
      </c>
      <c r="IZ53" s="157">
        <f t="shared" si="147"/>
        <v>413.04214285714289</v>
      </c>
      <c r="JA53" s="207">
        <f t="shared" si="148"/>
        <v>350</v>
      </c>
      <c r="JB53" s="207">
        <f t="shared" si="149"/>
        <v>275.36142857142858</v>
      </c>
      <c r="JC53" s="157">
        <f t="shared" si="150"/>
        <v>275.36142857142858</v>
      </c>
      <c r="JD53" s="157">
        <f t="shared" si="151"/>
        <v>413.04214285714284</v>
      </c>
      <c r="JE53" s="157">
        <f t="shared" si="152"/>
        <v>688.40357142857147</v>
      </c>
      <c r="JF53" s="168">
        <f t="shared" si="153"/>
        <v>79.579452857142769</v>
      </c>
      <c r="JG53" s="168">
        <f t="shared" si="154"/>
        <v>119.36917928571414</v>
      </c>
      <c r="JH53" s="168">
        <f t="shared" si="155"/>
        <v>198.94863214285692</v>
      </c>
      <c r="JI53" s="157">
        <f t="shared" si="156"/>
        <v>547.67681535968768</v>
      </c>
      <c r="JJ53" s="168">
        <f t="shared" si="157"/>
        <v>0</v>
      </c>
      <c r="JK53" s="168">
        <f t="shared" si="158"/>
        <v>292.81760366829064</v>
      </c>
      <c r="JL53" s="168">
        <f t="shared" si="159"/>
        <v>357.22723178180644</v>
      </c>
      <c r="JM53" s="168">
        <f t="shared" si="160"/>
        <v>158.27859963894957</v>
      </c>
      <c r="JN53" s="168">
        <f t="shared" si="161"/>
        <v>806.90185616438271</v>
      </c>
      <c r="JO53" s="157">
        <f t="shared" si="162"/>
        <v>0</v>
      </c>
      <c r="JP53" s="168">
        <f t="shared" si="163"/>
        <v>119.36917928571414</v>
      </c>
      <c r="JR53" s="168">
        <f t="shared" si="164"/>
        <v>276.22619999999966</v>
      </c>
      <c r="JS53" s="168">
        <f t="shared" si="165"/>
        <v>119.36917928571414</v>
      </c>
      <c r="JT53" s="181"/>
      <c r="JW53" s="168">
        <f t="shared" ref="JW53:JX53" si="313">JW52</f>
        <v>2.5</v>
      </c>
      <c r="JX53" s="161">
        <f t="shared" si="313"/>
        <v>350</v>
      </c>
      <c r="JY53" s="161">
        <f t="shared" si="44"/>
        <v>525</v>
      </c>
      <c r="JZ53" s="161">
        <f t="shared" si="45"/>
        <v>875</v>
      </c>
      <c r="KA53" s="161">
        <v>288.99999999999966</v>
      </c>
      <c r="KB53" s="168">
        <f t="shared" si="166"/>
        <v>2.5</v>
      </c>
      <c r="KC53" s="161">
        <v>275.36142857142858</v>
      </c>
      <c r="KD53" s="161">
        <v>413.04214285714284</v>
      </c>
      <c r="KE53" s="161">
        <v>688.40357142857147</v>
      </c>
      <c r="KF53" s="168">
        <f t="shared" ref="KF53" si="314">KF52</f>
        <v>0.56785714285714284</v>
      </c>
      <c r="KG53" s="154">
        <f t="shared" si="167"/>
        <v>21</v>
      </c>
      <c r="KH53" s="154">
        <f t="shared" si="168"/>
        <v>7.5</v>
      </c>
      <c r="KI53" s="181">
        <f t="shared" si="169"/>
        <v>13.333928571428572</v>
      </c>
      <c r="KJ53" s="181">
        <f t="shared" si="170"/>
        <v>16.033928571428568</v>
      </c>
      <c r="KK53" s="181">
        <f t="shared" si="171"/>
        <v>7.5000000000000009</v>
      </c>
      <c r="KL53" s="181">
        <f t="shared" si="172"/>
        <v>16.033928571428568</v>
      </c>
      <c r="KM53" s="181">
        <f t="shared" si="173"/>
        <v>16.033928571428568</v>
      </c>
      <c r="KN53" s="181">
        <f t="shared" si="253"/>
        <v>0</v>
      </c>
      <c r="KO53" s="181">
        <f t="shared" si="174"/>
        <v>7.5</v>
      </c>
      <c r="KP53" s="157">
        <f t="shared" si="175"/>
        <v>542.75785714285712</v>
      </c>
      <c r="KQ53" s="157">
        <f t="shared" si="46"/>
        <v>955.8</v>
      </c>
      <c r="KR53" s="157">
        <f t="shared" si="176"/>
        <v>0</v>
      </c>
      <c r="KS53" s="157">
        <f t="shared" si="177"/>
        <v>413.04214285714284</v>
      </c>
      <c r="KT53" s="157">
        <f t="shared" si="178"/>
        <v>1190.7</v>
      </c>
      <c r="KU53" s="157">
        <f t="shared" si="179"/>
        <v>1013.2097012743633</v>
      </c>
      <c r="KV53" s="157">
        <f t="shared" si="180"/>
        <v>1603.7421428571429</v>
      </c>
      <c r="KW53" s="200">
        <f t="shared" si="181"/>
        <v>1</v>
      </c>
      <c r="KX53" s="157">
        <f t="shared" si="182"/>
        <v>1013.2097012743633</v>
      </c>
      <c r="KY53" s="157">
        <f t="shared" si="183"/>
        <v>645.54794520547944</v>
      </c>
      <c r="KZ53" s="162">
        <f t="shared" si="47"/>
        <v>1236.0803867882591</v>
      </c>
      <c r="LA53" s="157">
        <f t="shared" si="184"/>
        <v>875</v>
      </c>
      <c r="LB53" s="157">
        <f t="shared" si="185"/>
        <v>413.04214285714289</v>
      </c>
      <c r="LC53" s="207">
        <f t="shared" si="186"/>
        <v>350</v>
      </c>
      <c r="LD53" s="207">
        <f t="shared" si="187"/>
        <v>275.36142857142858</v>
      </c>
      <c r="LE53" s="157">
        <f t="shared" si="188"/>
        <v>275.36142857142858</v>
      </c>
      <c r="LF53" s="157">
        <f t="shared" si="189"/>
        <v>413.04214285714284</v>
      </c>
      <c r="LG53" s="157">
        <f t="shared" si="190"/>
        <v>688.40357142857147</v>
      </c>
      <c r="LH53" s="168">
        <f t="shared" si="191"/>
        <v>79.579452857142769</v>
      </c>
      <c r="LI53" s="168">
        <f t="shared" si="192"/>
        <v>119.36917928571414</v>
      </c>
      <c r="LJ53" s="168">
        <f t="shared" si="193"/>
        <v>198.94863214285692</v>
      </c>
      <c r="LK53" s="157">
        <f t="shared" si="194"/>
        <v>547.67681535968768</v>
      </c>
      <c r="LL53" s="168">
        <f t="shared" si="195"/>
        <v>0</v>
      </c>
      <c r="LM53" s="168">
        <f t="shared" si="196"/>
        <v>292.81760366829064</v>
      </c>
      <c r="LN53" s="168">
        <f t="shared" si="197"/>
        <v>357.22723178180644</v>
      </c>
      <c r="LO53" s="168">
        <f t="shared" si="198"/>
        <v>158.27859963894957</v>
      </c>
      <c r="LP53" s="168">
        <f t="shared" si="199"/>
        <v>806.90185616438271</v>
      </c>
      <c r="LQ53" s="157">
        <f t="shared" si="200"/>
        <v>0</v>
      </c>
      <c r="LR53" s="168">
        <f t="shared" si="201"/>
        <v>119.36917928571414</v>
      </c>
      <c r="LT53" s="168">
        <f t="shared" si="202"/>
        <v>276.22619999999966</v>
      </c>
      <c r="LU53" s="168">
        <f t="shared" si="203"/>
        <v>119.36917928571414</v>
      </c>
      <c r="LV53" s="181"/>
      <c r="LY53" s="168">
        <f t="shared" si="291"/>
        <v>2.5</v>
      </c>
      <c r="LZ53" s="161">
        <f t="shared" si="291"/>
        <v>350</v>
      </c>
      <c r="MA53" s="161">
        <f t="shared" si="48"/>
        <v>525</v>
      </c>
      <c r="MB53" s="161">
        <f t="shared" si="49"/>
        <v>875</v>
      </c>
      <c r="MC53" s="161">
        <v>288.99999999999966</v>
      </c>
      <c r="MD53" s="168">
        <f t="shared" si="204"/>
        <v>2.5</v>
      </c>
      <c r="ME53" s="161">
        <v>350</v>
      </c>
      <c r="MF53" s="161">
        <v>525</v>
      </c>
      <c r="MG53" s="161">
        <v>875</v>
      </c>
      <c r="MH53" s="168">
        <f t="shared" si="292"/>
        <v>0.56785714285714284</v>
      </c>
      <c r="MI53" s="154">
        <f t="shared" si="205"/>
        <v>21</v>
      </c>
      <c r="MJ53" s="181">
        <f t="shared" si="206"/>
        <v>13.584745762711865</v>
      </c>
      <c r="MK53" s="181">
        <f t="shared" si="207"/>
        <v>10.129479418886199</v>
      </c>
      <c r="ML53" s="154">
        <f t="shared" si="208"/>
        <v>7.5</v>
      </c>
      <c r="MM53" s="181">
        <f t="shared" si="209"/>
        <v>11.346428571428572</v>
      </c>
      <c r="MN53" s="181">
        <f t="shared" si="210"/>
        <v>11.346428571428572</v>
      </c>
      <c r="MO53" s="181">
        <f t="shared" si="211"/>
        <v>15</v>
      </c>
      <c r="MP53" s="181">
        <f t="shared" si="212"/>
        <v>7.5</v>
      </c>
      <c r="MQ53" s="157">
        <f t="shared" si="50"/>
        <v>244.63285714285718</v>
      </c>
      <c r="MR53" s="157">
        <f t="shared" si="213"/>
        <v>955.8</v>
      </c>
      <c r="MS53" s="157">
        <f t="shared" si="214"/>
        <v>232.36714285714282</v>
      </c>
      <c r="MT53" s="157">
        <f t="shared" si="215"/>
        <v>478.8</v>
      </c>
      <c r="MU53" s="157">
        <f t="shared" si="216"/>
        <v>1190.7</v>
      </c>
      <c r="MV53" s="157">
        <f t="shared" si="217"/>
        <v>1013.2097012743633</v>
      </c>
      <c r="MW53" s="157">
        <f t="shared" si="218"/>
        <v>1669.5</v>
      </c>
      <c r="MX53" s="200">
        <f t="shared" si="219"/>
        <v>1</v>
      </c>
      <c r="MY53" s="157">
        <f t="shared" si="220"/>
        <v>1013.2097012743633</v>
      </c>
      <c r="MZ53" s="157">
        <f t="shared" si="221"/>
        <v>645.54794520547944</v>
      </c>
      <c r="NA53" s="162">
        <f t="shared" si="222"/>
        <v>1534.2053867882591</v>
      </c>
      <c r="NB53" s="157">
        <f t="shared" si="223"/>
        <v>875</v>
      </c>
      <c r="NC53" s="157">
        <f t="shared" si="224"/>
        <v>525</v>
      </c>
      <c r="ND53" s="207">
        <f t="shared" si="51"/>
        <v>350</v>
      </c>
      <c r="NE53" s="207">
        <f t="shared" si="225"/>
        <v>350</v>
      </c>
      <c r="NF53" s="157">
        <f t="shared" si="226"/>
        <v>350</v>
      </c>
      <c r="NG53" s="157">
        <f t="shared" si="52"/>
        <v>525</v>
      </c>
      <c r="NH53" s="157">
        <f t="shared" si="53"/>
        <v>875</v>
      </c>
      <c r="NI53" s="168">
        <f t="shared" si="227"/>
        <v>101.14999999999988</v>
      </c>
      <c r="NJ53" s="168">
        <f t="shared" si="228"/>
        <v>151.72499999999982</v>
      </c>
      <c r="NK53" s="168">
        <f t="shared" si="229"/>
        <v>252.87499999999972</v>
      </c>
      <c r="NL53" s="157">
        <f t="shared" si="230"/>
        <v>659.20538678825915</v>
      </c>
      <c r="NM53" s="168">
        <f t="shared" si="231"/>
        <v>67.154104285714197</v>
      </c>
      <c r="NN53" s="168">
        <f t="shared" si="232"/>
        <v>292.81760366829064</v>
      </c>
      <c r="NO53" s="168">
        <f t="shared" si="233"/>
        <v>443.38535678180642</v>
      </c>
      <c r="NP53" s="168">
        <f t="shared" si="234"/>
        <v>190.51035678180665</v>
      </c>
      <c r="NQ53" s="168">
        <f>(MU53+MR53+MZ53)/1000*$MC53</f>
        <v>806.90185616438271</v>
      </c>
      <c r="NR53" s="157">
        <f t="shared" si="236"/>
        <v>232.36714285714277</v>
      </c>
      <c r="NS53" s="168">
        <f t="shared" si="237"/>
        <v>151.72499999999982</v>
      </c>
      <c r="NT53" s="157">
        <f t="shared" si="238"/>
        <v>2792.0479452054797</v>
      </c>
      <c r="NU53" s="168">
        <f t="shared" si="239"/>
        <v>276.22619999999966</v>
      </c>
      <c r="NV53" s="168">
        <f t="shared" si="240"/>
        <v>205.52730428571405</v>
      </c>
      <c r="NW53" s="181"/>
      <c r="NX53" s="157"/>
      <c r="NY53" s="157"/>
      <c r="NZ53" s="157"/>
      <c r="OA53" s="157"/>
      <c r="OB53" s="157"/>
    </row>
    <row r="54" spans="1:392" ht="13" x14ac:dyDescent="0.3">
      <c r="A54" s="154">
        <v>62.237442922374427</v>
      </c>
      <c r="B54" s="154">
        <v>8.5</v>
      </c>
      <c r="C54" s="154">
        <f t="shared" si="241"/>
        <v>8.5</v>
      </c>
      <c r="D54" s="154">
        <v>21390.6</v>
      </c>
      <c r="E54" s="200">
        <f t="shared" si="242"/>
        <v>75.585159010600577</v>
      </c>
      <c r="F54" s="181">
        <f t="shared" si="54"/>
        <v>1102.5</v>
      </c>
      <c r="G54" s="161">
        <f t="shared" si="258"/>
        <v>283.00000000000045</v>
      </c>
      <c r="H54" s="154">
        <f t="shared" si="55"/>
        <v>1.1025</v>
      </c>
      <c r="I54" s="161">
        <f t="shared" si="56"/>
        <v>3537.5000000000055</v>
      </c>
      <c r="J54" s="181">
        <f t="shared" si="57"/>
        <v>21</v>
      </c>
      <c r="K54" s="181">
        <f t="shared" si="58"/>
        <v>13.584745762711865</v>
      </c>
      <c r="L54" s="181">
        <f t="shared" si="59"/>
        <v>10.697336561743342</v>
      </c>
      <c r="M54" s="181">
        <f t="shared" si="60"/>
        <v>8.5</v>
      </c>
      <c r="N54" s="181">
        <f t="shared" si="61"/>
        <v>11.714285714285715</v>
      </c>
      <c r="O54" s="181">
        <f t="shared" si="62"/>
        <v>11.714285714285715</v>
      </c>
      <c r="P54" s="181">
        <f t="shared" si="63"/>
        <v>15</v>
      </c>
      <c r="Q54" s="181">
        <f t="shared" si="64"/>
        <v>17.217430368373766</v>
      </c>
      <c r="R54" s="168">
        <f t="shared" si="65"/>
        <v>247.6250000000004</v>
      </c>
      <c r="S54" s="161">
        <f t="shared" si="66"/>
        <v>453.62735298385638</v>
      </c>
      <c r="T54" s="161">
        <f t="shared" si="67"/>
        <v>49.900124924614467</v>
      </c>
      <c r="U54" s="161">
        <f t="shared" si="68"/>
        <v>33.703199823535776</v>
      </c>
      <c r="V54" s="154">
        <f t="shared" si="69"/>
        <v>0.20897142857142847</v>
      </c>
      <c r="W54" s="154">
        <f t="shared" si="70"/>
        <v>0.52349493734830355</v>
      </c>
      <c r="X54" s="154">
        <f t="shared" si="71"/>
        <v>1.6029235087768752</v>
      </c>
      <c r="Y54" s="154">
        <f t="shared" si="72"/>
        <v>2.6330479452054796</v>
      </c>
      <c r="Z54" s="154">
        <f t="shared" si="73"/>
        <v>0.88500000000000001</v>
      </c>
      <c r="AA54" s="154">
        <f t="shared" si="74"/>
        <v>1.0301244364286044</v>
      </c>
      <c r="AB54" s="154">
        <f t="shared" si="26"/>
        <v>1.3984949373483038</v>
      </c>
      <c r="AC54" s="154">
        <f t="shared" si="27"/>
        <v>0.64554794520547942</v>
      </c>
      <c r="AD54" s="154">
        <f t="shared" si="28"/>
        <v>0.35</v>
      </c>
      <c r="AE54" s="154">
        <f t="shared" si="29"/>
        <v>0.52500000000000002</v>
      </c>
      <c r="AF54" s="154">
        <f t="shared" si="30"/>
        <v>0.875</v>
      </c>
      <c r="AG54" s="154">
        <f t="shared" si="75"/>
        <v>0.20442857142857143</v>
      </c>
      <c r="AH54" s="154">
        <f t="shared" si="76"/>
        <v>1.0794285714285714</v>
      </c>
      <c r="AI54" s="154">
        <f t="shared" si="77"/>
        <v>0.58732876712328763</v>
      </c>
      <c r="AJ54" s="154">
        <f t="shared" si="78"/>
        <v>5.8219178082191785E-2</v>
      </c>
      <c r="AK54" s="154">
        <f t="shared" si="79"/>
        <v>0</v>
      </c>
      <c r="AL54" s="161">
        <f t="shared" si="80"/>
        <v>587.32876712328766</v>
      </c>
      <c r="AM54" s="161">
        <f t="shared" si="81"/>
        <v>58.219178082191782</v>
      </c>
      <c r="AN54" s="161">
        <f t="shared" si="82"/>
        <v>0</v>
      </c>
      <c r="AO54" s="161"/>
      <c r="AP54" s="154">
        <f t="shared" si="83"/>
        <v>0.64554794520547942</v>
      </c>
      <c r="AQ54" s="154">
        <f t="shared" si="84"/>
        <v>0.64554794520547942</v>
      </c>
      <c r="AR54" s="154">
        <f t="shared" si="85"/>
        <v>1.2883999999999998</v>
      </c>
      <c r="AS54" s="161"/>
      <c r="AT54" s="161"/>
      <c r="AU54" s="161"/>
      <c r="AV54" s="161"/>
      <c r="AW54" s="181"/>
      <c r="AX54" s="181"/>
      <c r="AY54" s="181"/>
      <c r="AZ54" s="181"/>
      <c r="BA54" s="181"/>
      <c r="BB54" s="161"/>
      <c r="BC54" s="161"/>
      <c r="BD54" s="161"/>
      <c r="BE54" s="181"/>
      <c r="BF54" s="168"/>
      <c r="BG54" s="181"/>
      <c r="BH54" s="168"/>
      <c r="BI54" s="168"/>
      <c r="BJ54" s="161"/>
      <c r="BK54" s="168"/>
      <c r="BL54" s="168"/>
      <c r="BM54" s="168"/>
      <c r="BN54" s="168"/>
      <c r="BO54" s="168">
        <f t="shared" si="86"/>
        <v>166.21404109589068</v>
      </c>
      <c r="BP54" s="168">
        <f t="shared" si="87"/>
        <v>16.476027397260303</v>
      </c>
      <c r="BQ54" s="168">
        <f t="shared" si="88"/>
        <v>0</v>
      </c>
      <c r="BR54" s="181"/>
      <c r="BS54" s="161"/>
      <c r="BT54" s="168"/>
      <c r="BU54" s="161"/>
      <c r="BV54" s="161"/>
      <c r="BW54" s="161"/>
      <c r="BX54" s="161"/>
      <c r="CB54" s="181">
        <f t="shared" si="89"/>
        <v>69.311704133798699</v>
      </c>
      <c r="CC54" s="181">
        <f t="shared" si="89"/>
        <v>0</v>
      </c>
      <c r="CD54" s="181">
        <f t="shared" si="89"/>
        <v>81.012388737609854</v>
      </c>
      <c r="CE54" s="181">
        <f t="shared" si="89"/>
        <v>0</v>
      </c>
      <c r="CF54" s="181">
        <f t="shared" si="89"/>
        <v>269.48205627221677</v>
      </c>
      <c r="CG54" s="181">
        <f t="shared" si="89"/>
        <v>0</v>
      </c>
      <c r="CH54" s="181">
        <f t="shared" si="89"/>
        <v>81.118287284979274</v>
      </c>
      <c r="CI54" s="181">
        <f t="shared" si="89"/>
        <v>0</v>
      </c>
      <c r="CJ54" s="182">
        <f t="shared" si="90"/>
        <v>500.92443642860457</v>
      </c>
      <c r="CK54" s="161">
        <f t="shared" si="91"/>
        <v>500.92443642860457</v>
      </c>
      <c r="CL54" s="161">
        <f t="shared" si="243"/>
        <v>529.19999999999993</v>
      </c>
      <c r="CM54" s="182">
        <f t="shared" si="92"/>
        <v>1030.1244364286044</v>
      </c>
      <c r="CN54" s="157">
        <f t="shared" si="93"/>
        <v>141.76161550929532</v>
      </c>
      <c r="CO54" s="162">
        <f t="shared" si="94"/>
        <v>1030.1244364286044</v>
      </c>
      <c r="FT54" s="168">
        <f t="shared" si="244"/>
        <v>2.5</v>
      </c>
      <c r="FU54" s="161">
        <f t="shared" si="245"/>
        <v>350</v>
      </c>
      <c r="FV54" s="161">
        <f t="shared" si="33"/>
        <v>525</v>
      </c>
      <c r="FW54" s="161">
        <f t="shared" si="95"/>
        <v>875</v>
      </c>
      <c r="FX54" s="161">
        <v>283.00000000000045</v>
      </c>
      <c r="FY54" s="168">
        <f t="shared" si="96"/>
        <v>2.5</v>
      </c>
      <c r="FZ54" s="161">
        <v>350</v>
      </c>
      <c r="GA54" s="161">
        <v>525</v>
      </c>
      <c r="GB54" s="161">
        <v>875</v>
      </c>
      <c r="GC54" s="168">
        <f t="shared" si="246"/>
        <v>0.56785714285714284</v>
      </c>
      <c r="GD54" s="154">
        <f t="shared" si="97"/>
        <v>21</v>
      </c>
      <c r="GE54" s="181">
        <f t="shared" si="98"/>
        <v>13.584745762711865</v>
      </c>
      <c r="GF54" s="181">
        <f t="shared" si="34"/>
        <v>10.697336561743342</v>
      </c>
      <c r="GG54" s="154">
        <f t="shared" si="99"/>
        <v>8.5</v>
      </c>
      <c r="GH54" s="181">
        <f t="shared" si="100"/>
        <v>11.714285714285715</v>
      </c>
      <c r="GI54" s="181">
        <f t="shared" si="101"/>
        <v>25.472147349505843</v>
      </c>
      <c r="GJ54" s="181">
        <f t="shared" si="102"/>
        <v>25.472147349505843</v>
      </c>
      <c r="GK54" s="181">
        <f t="shared" si="103"/>
        <v>8.5</v>
      </c>
      <c r="GL54" s="157">
        <f t="shared" si="104"/>
        <v>204.42857142857144</v>
      </c>
      <c r="GM54" s="157">
        <f t="shared" si="105"/>
        <v>885</v>
      </c>
      <c r="GN54" s="157">
        <f t="shared" si="106"/>
        <v>0</v>
      </c>
      <c r="GO54" s="157">
        <f t="shared" si="107"/>
        <v>680.57142857142856</v>
      </c>
      <c r="GP54" s="157">
        <f t="shared" si="108"/>
        <v>1102.5</v>
      </c>
      <c r="GQ54" s="157">
        <f t="shared" si="109"/>
        <v>1030.1244364286044</v>
      </c>
      <c r="GR54" s="157">
        <f t="shared" si="110"/>
        <v>1783.0714285714284</v>
      </c>
      <c r="GS54" s="200">
        <f t="shared" si="111"/>
        <v>1</v>
      </c>
      <c r="GT54" s="157">
        <f t="shared" si="112"/>
        <v>1030.1244364286044</v>
      </c>
      <c r="GU54" s="157">
        <f t="shared" si="113"/>
        <v>645.54794520547944</v>
      </c>
      <c r="GV54" s="162">
        <f t="shared" si="114"/>
        <v>1398.4949373483037</v>
      </c>
      <c r="GW54" s="157">
        <f t="shared" si="115"/>
        <v>875</v>
      </c>
      <c r="GX54" s="157">
        <f t="shared" si="247"/>
        <v>525</v>
      </c>
      <c r="GY54" s="207">
        <f t="shared" si="35"/>
        <v>350</v>
      </c>
      <c r="GZ54" s="207">
        <f t="shared" si="116"/>
        <v>350</v>
      </c>
      <c r="HA54" s="157">
        <f t="shared" si="117"/>
        <v>350</v>
      </c>
      <c r="HB54" s="157">
        <f t="shared" si="36"/>
        <v>525</v>
      </c>
      <c r="HC54" s="157">
        <f t="shared" si="37"/>
        <v>875</v>
      </c>
      <c r="HD54" s="168">
        <f t="shared" si="38"/>
        <v>99.050000000000153</v>
      </c>
      <c r="HE54" s="168">
        <f t="shared" si="118"/>
        <v>148.57500000000024</v>
      </c>
      <c r="HF54" s="168">
        <f t="shared" si="39"/>
        <v>247.6250000000004</v>
      </c>
      <c r="HG54" s="157">
        <f t="shared" si="119"/>
        <v>523.49493734830367</v>
      </c>
      <c r="HH54" s="168">
        <f t="shared" si="120"/>
        <v>0</v>
      </c>
      <c r="HI54" s="168">
        <f t="shared" si="121"/>
        <v>291.52521550929549</v>
      </c>
      <c r="HJ54" s="168">
        <f t="shared" si="122"/>
        <v>395.77406726957059</v>
      </c>
      <c r="HK54" s="168">
        <f t="shared" si="123"/>
        <v>148.14906726957017</v>
      </c>
      <c r="HL54" s="168">
        <f t="shared" si="124"/>
        <v>745.15256849315188</v>
      </c>
      <c r="HM54" s="157">
        <f t="shared" si="125"/>
        <v>875.00000000000011</v>
      </c>
      <c r="HN54" s="168">
        <f t="shared" si="126"/>
        <v>148.57500000000024</v>
      </c>
      <c r="HP54" s="168">
        <f t="shared" si="127"/>
        <v>250.45500000000041</v>
      </c>
      <c r="HQ54" s="168">
        <f t="shared" si="128"/>
        <v>192.60171428571459</v>
      </c>
      <c r="HR54" s="181"/>
      <c r="HU54" s="168">
        <f t="shared" si="287"/>
        <v>2.5</v>
      </c>
      <c r="HV54" s="161">
        <f t="shared" si="287"/>
        <v>350</v>
      </c>
      <c r="HW54" s="161">
        <f t="shared" si="40"/>
        <v>525</v>
      </c>
      <c r="HX54" s="161">
        <f t="shared" si="41"/>
        <v>875</v>
      </c>
      <c r="HY54" s="161">
        <v>283.00000000000045</v>
      </c>
      <c r="HZ54" s="168">
        <f t="shared" si="129"/>
        <v>2.5</v>
      </c>
      <c r="IA54" s="161">
        <v>254.96428571428575</v>
      </c>
      <c r="IB54" s="161">
        <v>382.44642857142861</v>
      </c>
      <c r="IC54" s="161">
        <v>637.41071428571433</v>
      </c>
      <c r="ID54" s="168">
        <f t="shared" si="288"/>
        <v>0.56785714285714284</v>
      </c>
      <c r="IE54" s="154">
        <f t="shared" si="130"/>
        <v>21</v>
      </c>
      <c r="IF54" s="154">
        <f t="shared" si="131"/>
        <v>8.5</v>
      </c>
      <c r="IG54" s="181">
        <f t="shared" si="132"/>
        <v>13.901785714285715</v>
      </c>
      <c r="IH54" s="181">
        <f t="shared" si="133"/>
        <v>16.401785714285712</v>
      </c>
      <c r="II54" s="181">
        <f t="shared" si="134"/>
        <v>8.5</v>
      </c>
      <c r="IJ54" s="181">
        <f t="shared" si="135"/>
        <v>26.423966756513927</v>
      </c>
      <c r="IK54" s="181">
        <f t="shared" si="136"/>
        <v>26.423966756513927</v>
      </c>
      <c r="IL54" s="181">
        <f t="shared" si="250"/>
        <v>0</v>
      </c>
      <c r="IM54" s="181">
        <f t="shared" si="137"/>
        <v>8.5</v>
      </c>
      <c r="IN54" s="157">
        <f t="shared" si="138"/>
        <v>502.55357142857133</v>
      </c>
      <c r="IO54" s="157">
        <f t="shared" si="139"/>
        <v>885</v>
      </c>
      <c r="IP54" s="157">
        <f t="shared" si="42"/>
        <v>0</v>
      </c>
      <c r="IQ54" s="157">
        <f t="shared" si="43"/>
        <v>382.44642857142867</v>
      </c>
      <c r="IR54" s="157">
        <f t="shared" si="140"/>
        <v>1102.5</v>
      </c>
      <c r="IS54" s="157">
        <f t="shared" si="141"/>
        <v>1030.1244364286044</v>
      </c>
      <c r="IT54" s="157">
        <f t="shared" si="142"/>
        <v>1484.9464285714287</v>
      </c>
      <c r="IU54" s="200">
        <f t="shared" si="143"/>
        <v>1</v>
      </c>
      <c r="IV54" s="157">
        <f t="shared" si="144"/>
        <v>1030.1244364286044</v>
      </c>
      <c r="IW54" s="157">
        <f t="shared" si="145"/>
        <v>645.54794520547944</v>
      </c>
      <c r="IX54" s="162">
        <f t="shared" si="146"/>
        <v>1100.3699373483039</v>
      </c>
      <c r="IY54" s="157">
        <f t="shared" si="22"/>
        <v>875</v>
      </c>
      <c r="IZ54" s="157">
        <f t="shared" si="147"/>
        <v>382.44642857142861</v>
      </c>
      <c r="JA54" s="207">
        <f t="shared" si="148"/>
        <v>350</v>
      </c>
      <c r="JB54" s="207">
        <f t="shared" si="149"/>
        <v>254.96428571428575</v>
      </c>
      <c r="JC54" s="157">
        <f t="shared" si="150"/>
        <v>254.96428571428575</v>
      </c>
      <c r="JD54" s="157">
        <f t="shared" si="151"/>
        <v>382.44642857142861</v>
      </c>
      <c r="JE54" s="157">
        <f t="shared" si="152"/>
        <v>637.41071428571433</v>
      </c>
      <c r="JF54" s="168">
        <f t="shared" si="153"/>
        <v>72.154892857142983</v>
      </c>
      <c r="JG54" s="168">
        <f t="shared" si="154"/>
        <v>108.23233928571447</v>
      </c>
      <c r="JH54" s="168">
        <f t="shared" si="155"/>
        <v>180.38723214285747</v>
      </c>
      <c r="JI54" s="157">
        <f t="shared" si="156"/>
        <v>462.95922306258956</v>
      </c>
      <c r="JJ54" s="168">
        <f t="shared" si="157"/>
        <v>0</v>
      </c>
      <c r="JK54" s="168">
        <f t="shared" si="158"/>
        <v>291.52521550929549</v>
      </c>
      <c r="JL54" s="168">
        <f t="shared" si="159"/>
        <v>311.40469226957049</v>
      </c>
      <c r="JM54" s="168">
        <f t="shared" si="160"/>
        <v>131.01746012671305</v>
      </c>
      <c r="JN54" s="168">
        <f t="shared" si="161"/>
        <v>745.15256849315188</v>
      </c>
      <c r="JO54" s="157">
        <f t="shared" si="162"/>
        <v>0</v>
      </c>
      <c r="JP54" s="168">
        <f t="shared" si="163"/>
        <v>108.23233928571447</v>
      </c>
      <c r="JR54" s="168">
        <f t="shared" si="164"/>
        <v>250.45500000000041</v>
      </c>
      <c r="JS54" s="168">
        <f t="shared" si="165"/>
        <v>108.23233928571449</v>
      </c>
      <c r="JT54" s="181"/>
      <c r="JW54" s="168">
        <f t="shared" ref="JW54:JX54" si="315">JW53</f>
        <v>2.5</v>
      </c>
      <c r="JX54" s="161">
        <f t="shared" si="315"/>
        <v>350</v>
      </c>
      <c r="JY54" s="161">
        <f t="shared" si="44"/>
        <v>525</v>
      </c>
      <c r="JZ54" s="161">
        <f t="shared" si="45"/>
        <v>875</v>
      </c>
      <c r="KA54" s="161">
        <v>283.00000000000045</v>
      </c>
      <c r="KB54" s="168">
        <f t="shared" si="166"/>
        <v>2.5</v>
      </c>
      <c r="KC54" s="161">
        <v>254.96428571428575</v>
      </c>
      <c r="KD54" s="161">
        <v>382.44642857142861</v>
      </c>
      <c r="KE54" s="161">
        <v>637.41071428571433</v>
      </c>
      <c r="KF54" s="168">
        <f t="shared" ref="KF54" si="316">KF53</f>
        <v>0.56785714285714284</v>
      </c>
      <c r="KG54" s="154">
        <f t="shared" si="167"/>
        <v>21</v>
      </c>
      <c r="KH54" s="154">
        <f t="shared" si="168"/>
        <v>8.5</v>
      </c>
      <c r="KI54" s="181">
        <f t="shared" si="169"/>
        <v>13.901785714285715</v>
      </c>
      <c r="KJ54" s="181">
        <f t="shared" si="170"/>
        <v>16.401785714285712</v>
      </c>
      <c r="KK54" s="181">
        <f t="shared" si="171"/>
        <v>8.5</v>
      </c>
      <c r="KL54" s="181">
        <f t="shared" si="172"/>
        <v>16.401785714285712</v>
      </c>
      <c r="KM54" s="181">
        <f t="shared" si="173"/>
        <v>16.401785714285712</v>
      </c>
      <c r="KN54" s="181">
        <f t="shared" si="253"/>
        <v>0</v>
      </c>
      <c r="KO54" s="181">
        <f t="shared" si="174"/>
        <v>8.5</v>
      </c>
      <c r="KP54" s="157">
        <f t="shared" si="175"/>
        <v>502.55357142857133</v>
      </c>
      <c r="KQ54" s="157">
        <f t="shared" si="46"/>
        <v>885</v>
      </c>
      <c r="KR54" s="157">
        <f t="shared" si="176"/>
        <v>0</v>
      </c>
      <c r="KS54" s="157">
        <f t="shared" si="177"/>
        <v>382.44642857142867</v>
      </c>
      <c r="KT54" s="157">
        <f t="shared" si="178"/>
        <v>1102.5</v>
      </c>
      <c r="KU54" s="157">
        <f t="shared" si="179"/>
        <v>1030.1244364286044</v>
      </c>
      <c r="KV54" s="157">
        <f t="shared" si="180"/>
        <v>1484.9464285714287</v>
      </c>
      <c r="KW54" s="200">
        <f t="shared" si="181"/>
        <v>1</v>
      </c>
      <c r="KX54" s="157">
        <f t="shared" si="182"/>
        <v>1030.1244364286044</v>
      </c>
      <c r="KY54" s="157">
        <f t="shared" si="183"/>
        <v>645.54794520547944</v>
      </c>
      <c r="KZ54" s="162">
        <f t="shared" si="47"/>
        <v>1100.3699373483039</v>
      </c>
      <c r="LA54" s="157">
        <f t="shared" si="184"/>
        <v>875</v>
      </c>
      <c r="LB54" s="157">
        <f t="shared" si="185"/>
        <v>382.44642857142861</v>
      </c>
      <c r="LC54" s="207">
        <f t="shared" si="186"/>
        <v>350</v>
      </c>
      <c r="LD54" s="207">
        <f t="shared" si="187"/>
        <v>254.96428571428575</v>
      </c>
      <c r="LE54" s="157">
        <f t="shared" si="188"/>
        <v>254.96428571428575</v>
      </c>
      <c r="LF54" s="157">
        <f t="shared" si="189"/>
        <v>382.44642857142861</v>
      </c>
      <c r="LG54" s="157">
        <f t="shared" si="190"/>
        <v>637.41071428571433</v>
      </c>
      <c r="LH54" s="168">
        <f t="shared" si="191"/>
        <v>72.154892857142983</v>
      </c>
      <c r="LI54" s="168">
        <f t="shared" si="192"/>
        <v>108.23233928571447</v>
      </c>
      <c r="LJ54" s="168">
        <f t="shared" si="193"/>
        <v>180.38723214285747</v>
      </c>
      <c r="LK54" s="157">
        <f t="shared" si="194"/>
        <v>462.95922306258956</v>
      </c>
      <c r="LL54" s="168">
        <f t="shared" si="195"/>
        <v>0</v>
      </c>
      <c r="LM54" s="168">
        <f t="shared" si="196"/>
        <v>291.52521550929549</v>
      </c>
      <c r="LN54" s="168">
        <f t="shared" si="197"/>
        <v>311.40469226957049</v>
      </c>
      <c r="LO54" s="168">
        <f t="shared" si="198"/>
        <v>131.01746012671305</v>
      </c>
      <c r="LP54" s="168">
        <f t="shared" si="199"/>
        <v>745.15256849315188</v>
      </c>
      <c r="LQ54" s="157">
        <f t="shared" si="200"/>
        <v>0</v>
      </c>
      <c r="LR54" s="168">
        <f t="shared" si="201"/>
        <v>108.23233928571447</v>
      </c>
      <c r="LT54" s="168">
        <f t="shared" si="202"/>
        <v>250.45500000000041</v>
      </c>
      <c r="LU54" s="168">
        <f t="shared" si="203"/>
        <v>108.23233928571449</v>
      </c>
      <c r="LV54" s="181"/>
      <c r="LY54" s="168">
        <f t="shared" si="291"/>
        <v>2.5</v>
      </c>
      <c r="LZ54" s="161">
        <f t="shared" si="291"/>
        <v>350</v>
      </c>
      <c r="MA54" s="161">
        <f t="shared" si="48"/>
        <v>525</v>
      </c>
      <c r="MB54" s="161">
        <f t="shared" si="49"/>
        <v>875</v>
      </c>
      <c r="MC54" s="161">
        <v>283.00000000000045</v>
      </c>
      <c r="MD54" s="168">
        <f t="shared" si="204"/>
        <v>2.5</v>
      </c>
      <c r="ME54" s="161">
        <v>350</v>
      </c>
      <c r="MF54" s="161">
        <v>525</v>
      </c>
      <c r="MG54" s="161">
        <v>875</v>
      </c>
      <c r="MH54" s="168">
        <f t="shared" si="292"/>
        <v>0.56785714285714284</v>
      </c>
      <c r="MI54" s="154">
        <f t="shared" si="205"/>
        <v>21</v>
      </c>
      <c r="MJ54" s="181">
        <f t="shared" si="206"/>
        <v>13.584745762711865</v>
      </c>
      <c r="MK54" s="181">
        <f t="shared" si="207"/>
        <v>10.697336561743342</v>
      </c>
      <c r="ML54" s="154">
        <f t="shared" si="208"/>
        <v>8.5</v>
      </c>
      <c r="MM54" s="181">
        <f t="shared" si="209"/>
        <v>11.714285714285715</v>
      </c>
      <c r="MN54" s="181">
        <f t="shared" si="210"/>
        <v>11.714285714285715</v>
      </c>
      <c r="MO54" s="181">
        <f t="shared" si="211"/>
        <v>15</v>
      </c>
      <c r="MP54" s="181">
        <f t="shared" si="212"/>
        <v>8.5</v>
      </c>
      <c r="MQ54" s="157">
        <f t="shared" si="50"/>
        <v>204.42857142857144</v>
      </c>
      <c r="MR54" s="157">
        <f t="shared" si="213"/>
        <v>885</v>
      </c>
      <c r="MS54" s="157">
        <f t="shared" si="214"/>
        <v>208.97142857142848</v>
      </c>
      <c r="MT54" s="157">
        <f t="shared" si="215"/>
        <v>471.60000000000008</v>
      </c>
      <c r="MU54" s="157">
        <f t="shared" si="216"/>
        <v>1102.5</v>
      </c>
      <c r="MV54" s="157">
        <f t="shared" si="217"/>
        <v>1030.1244364286044</v>
      </c>
      <c r="MW54" s="157">
        <f t="shared" si="218"/>
        <v>1574.1000000000001</v>
      </c>
      <c r="MX54" s="200">
        <f t="shared" si="219"/>
        <v>1</v>
      </c>
      <c r="MY54" s="157">
        <f t="shared" si="220"/>
        <v>1030.1244364286044</v>
      </c>
      <c r="MZ54" s="157">
        <f t="shared" si="221"/>
        <v>645.54794520547944</v>
      </c>
      <c r="NA54" s="162">
        <f t="shared" si="222"/>
        <v>1398.4949373483037</v>
      </c>
      <c r="NB54" s="157">
        <f t="shared" si="223"/>
        <v>875</v>
      </c>
      <c r="NC54" s="157">
        <f t="shared" si="224"/>
        <v>525</v>
      </c>
      <c r="ND54" s="207">
        <f t="shared" si="51"/>
        <v>350</v>
      </c>
      <c r="NE54" s="207">
        <f t="shared" si="225"/>
        <v>350</v>
      </c>
      <c r="NF54" s="157">
        <f t="shared" si="226"/>
        <v>350</v>
      </c>
      <c r="NG54" s="157">
        <f t="shared" si="52"/>
        <v>525</v>
      </c>
      <c r="NH54" s="157">
        <f t="shared" si="53"/>
        <v>875</v>
      </c>
      <c r="NI54" s="168">
        <f t="shared" si="227"/>
        <v>99.050000000000153</v>
      </c>
      <c r="NJ54" s="168">
        <f t="shared" si="228"/>
        <v>148.57500000000024</v>
      </c>
      <c r="NK54" s="168">
        <f t="shared" si="229"/>
        <v>247.6250000000004</v>
      </c>
      <c r="NL54" s="157">
        <f t="shared" si="230"/>
        <v>523.49493734830367</v>
      </c>
      <c r="NM54" s="168">
        <f t="shared" si="231"/>
        <v>59.138914285714357</v>
      </c>
      <c r="NN54" s="168">
        <f t="shared" si="232"/>
        <v>291.52521550929549</v>
      </c>
      <c r="NO54" s="168">
        <f t="shared" si="233"/>
        <v>395.77406726957059</v>
      </c>
      <c r="NP54" s="168">
        <f t="shared" si="234"/>
        <v>148.14906726957017</v>
      </c>
      <c r="NQ54" s="168">
        <f>(MU54+MR54+MZ54)/1000*$MC54</f>
        <v>745.15256849315188</v>
      </c>
      <c r="NR54" s="157">
        <f t="shared" si="236"/>
        <v>208.97142857142853</v>
      </c>
      <c r="NS54" s="168">
        <f t="shared" si="237"/>
        <v>148.57500000000024</v>
      </c>
      <c r="NT54" s="157">
        <f>(MU54+MR54+MZ54)</f>
        <v>2633.0479452054797</v>
      </c>
      <c r="NU54" s="168">
        <f t="shared" si="239"/>
        <v>250.45500000000041</v>
      </c>
      <c r="NV54" s="168">
        <f t="shared" si="240"/>
        <v>192.60171428571459</v>
      </c>
      <c r="NW54" s="181"/>
      <c r="NX54" s="157"/>
      <c r="NY54" s="157"/>
      <c r="NZ54" s="157"/>
      <c r="OA54" s="157"/>
      <c r="OB54" s="157"/>
    </row>
    <row r="55" spans="1:392" ht="13" x14ac:dyDescent="0.3">
      <c r="A55" s="154">
        <v>65.55936073059361</v>
      </c>
      <c r="B55" s="154">
        <v>9.5</v>
      </c>
      <c r="C55" s="154">
        <f t="shared" si="241"/>
        <v>9.5</v>
      </c>
      <c r="D55" s="154">
        <v>28883.200000000004</v>
      </c>
      <c r="E55" s="200">
        <f t="shared" si="242"/>
        <v>99.254982817869276</v>
      </c>
      <c r="F55" s="181">
        <f t="shared" si="54"/>
        <v>1014.3000000000001</v>
      </c>
      <c r="G55" s="161">
        <f t="shared" si="258"/>
        <v>291.00000000000045</v>
      </c>
      <c r="H55" s="154">
        <f t="shared" si="55"/>
        <v>1.0143</v>
      </c>
      <c r="I55" s="161">
        <f t="shared" si="56"/>
        <v>3346.5000000000055</v>
      </c>
      <c r="J55" s="181">
        <f t="shared" si="57"/>
        <v>21</v>
      </c>
      <c r="K55" s="181">
        <f t="shared" si="58"/>
        <v>13.584745762711865</v>
      </c>
      <c r="L55" s="181">
        <f t="shared" si="59"/>
        <v>11.265193704600485</v>
      </c>
      <c r="M55" s="181">
        <f t="shared" si="60"/>
        <v>9.5</v>
      </c>
      <c r="N55" s="181">
        <f t="shared" si="61"/>
        <v>12.082142857142857</v>
      </c>
      <c r="O55" s="181">
        <f t="shared" si="62"/>
        <v>12.082142857142857</v>
      </c>
      <c r="P55" s="181">
        <f t="shared" si="63"/>
        <v>15</v>
      </c>
      <c r="Q55" s="181">
        <f t="shared" si="64"/>
        <v>17.585287511230909</v>
      </c>
      <c r="R55" s="168">
        <f t="shared" si="65"/>
        <v>254.6250000000004</v>
      </c>
      <c r="S55" s="161">
        <f t="shared" si="66"/>
        <v>374.53353640502024</v>
      </c>
      <c r="T55" s="161">
        <f t="shared" si="67"/>
        <v>48.40012492461446</v>
      </c>
      <c r="U55" s="161">
        <f t="shared" si="68"/>
        <v>29.736742549278119</v>
      </c>
      <c r="V55" s="154">
        <f t="shared" si="69"/>
        <v>0.18557571428571426</v>
      </c>
      <c r="W55" s="154">
        <f t="shared" si="70"/>
        <v>0.24783254041980229</v>
      </c>
      <c r="X55" s="154">
        <f t="shared" si="71"/>
        <v>1.2870568261340882</v>
      </c>
      <c r="Y55" s="154">
        <f t="shared" si="72"/>
        <v>2.4740479452054793</v>
      </c>
      <c r="Z55" s="154">
        <f t="shared" si="73"/>
        <v>0.81419999999999992</v>
      </c>
      <c r="AA55" s="154">
        <f t="shared" si="74"/>
        <v>1.1869911190713911</v>
      </c>
      <c r="AB55" s="154">
        <f t="shared" si="26"/>
        <v>1.122832540419803</v>
      </c>
      <c r="AC55" s="154">
        <f t="shared" si="27"/>
        <v>0.64554794520547942</v>
      </c>
      <c r="AD55" s="154">
        <f t="shared" si="28"/>
        <v>0.35</v>
      </c>
      <c r="AE55" s="154">
        <f t="shared" si="29"/>
        <v>0.52500000000000002</v>
      </c>
      <c r="AF55" s="154">
        <f t="shared" si="30"/>
        <v>0.875</v>
      </c>
      <c r="AG55" s="154">
        <f t="shared" si="75"/>
        <v>0.16422428571428574</v>
      </c>
      <c r="AH55" s="154">
        <f t="shared" si="76"/>
        <v>1.0392242857142857</v>
      </c>
      <c r="AI55" s="154">
        <f t="shared" si="77"/>
        <v>0.58732876712328763</v>
      </c>
      <c r="AJ55" s="154">
        <f t="shared" si="78"/>
        <v>5.8219178082191785E-2</v>
      </c>
      <c r="AK55" s="154">
        <f t="shared" si="79"/>
        <v>0</v>
      </c>
      <c r="AL55" s="161">
        <f t="shared" si="80"/>
        <v>587.32876712328766</v>
      </c>
      <c r="AM55" s="161">
        <f t="shared" si="81"/>
        <v>58.219178082191782</v>
      </c>
      <c r="AN55" s="161">
        <f t="shared" si="82"/>
        <v>0</v>
      </c>
      <c r="AO55" s="161"/>
      <c r="AP55" s="154">
        <f t="shared" si="83"/>
        <v>0.64554794520547942</v>
      </c>
      <c r="AQ55" s="154">
        <f t="shared" si="84"/>
        <v>0.64554794520547942</v>
      </c>
      <c r="AR55" s="154">
        <f t="shared" si="85"/>
        <v>1.2247999999999999</v>
      </c>
      <c r="AS55" s="161"/>
      <c r="AT55" s="161"/>
      <c r="AU55" s="161"/>
      <c r="AV55" s="161"/>
      <c r="AW55" s="181"/>
      <c r="AX55" s="181"/>
      <c r="AY55" s="181"/>
      <c r="AZ55" s="181"/>
      <c r="BA55" s="181"/>
      <c r="BB55" s="161"/>
      <c r="BC55" s="161"/>
      <c r="BD55" s="161"/>
      <c r="BE55" s="181"/>
      <c r="BF55" s="168"/>
      <c r="BG55" s="181"/>
      <c r="BH55" s="168"/>
      <c r="BI55" s="168"/>
      <c r="BJ55" s="161"/>
      <c r="BK55" s="168"/>
      <c r="BL55" s="168"/>
      <c r="BM55" s="168"/>
      <c r="BN55" s="168"/>
      <c r="BO55" s="168">
        <f t="shared" si="86"/>
        <v>170.91267123287696</v>
      </c>
      <c r="BP55" s="168">
        <f t="shared" si="87"/>
        <v>16.941780821917835</v>
      </c>
      <c r="BQ55" s="168">
        <f t="shared" si="88"/>
        <v>0</v>
      </c>
      <c r="BR55" s="181"/>
      <c r="BS55" s="161"/>
      <c r="BT55" s="168"/>
      <c r="BU55" s="161"/>
      <c r="BV55" s="161"/>
      <c r="BW55" s="161"/>
      <c r="BX55" s="161"/>
      <c r="CB55" s="181">
        <f t="shared" si="89"/>
        <v>91.016968052056313</v>
      </c>
      <c r="CC55" s="181">
        <f t="shared" si="89"/>
        <v>0</v>
      </c>
      <c r="CD55" s="181">
        <f t="shared" si="89"/>
        <v>106.38177331952565</v>
      </c>
      <c r="CE55" s="181">
        <f t="shared" si="89"/>
        <v>0</v>
      </c>
      <c r="CF55" s="181">
        <f t="shared" si="89"/>
        <v>353.87154323868941</v>
      </c>
      <c r="CG55" s="181">
        <f t="shared" si="89"/>
        <v>0</v>
      </c>
      <c r="CH55" s="181">
        <f t="shared" si="89"/>
        <v>106.52083446111982</v>
      </c>
      <c r="CI55" s="181">
        <f t="shared" si="89"/>
        <v>0</v>
      </c>
      <c r="CJ55" s="182">
        <f t="shared" si="90"/>
        <v>657.79111907139122</v>
      </c>
      <c r="CK55" s="161">
        <f t="shared" si="91"/>
        <v>657.79111907139122</v>
      </c>
      <c r="CL55" s="161">
        <f t="shared" si="243"/>
        <v>529.19999999999993</v>
      </c>
      <c r="CM55" s="182">
        <f t="shared" si="92"/>
        <v>1186.991119071391</v>
      </c>
      <c r="CN55" s="157">
        <f t="shared" si="93"/>
        <v>191.41721564977513</v>
      </c>
      <c r="CO55" s="162">
        <f t="shared" si="94"/>
        <v>1186.991119071391</v>
      </c>
      <c r="FT55" s="168">
        <f t="shared" si="244"/>
        <v>2.5</v>
      </c>
      <c r="FU55" s="161">
        <f t="shared" si="245"/>
        <v>350</v>
      </c>
      <c r="FV55" s="161">
        <f t="shared" si="33"/>
        <v>525</v>
      </c>
      <c r="FW55" s="161">
        <f t="shared" si="95"/>
        <v>875</v>
      </c>
      <c r="FX55" s="161">
        <v>291.00000000000045</v>
      </c>
      <c r="FY55" s="168">
        <f t="shared" si="96"/>
        <v>2.5</v>
      </c>
      <c r="FZ55" s="161">
        <v>350</v>
      </c>
      <c r="GA55" s="161">
        <v>525</v>
      </c>
      <c r="GB55" s="161">
        <v>875</v>
      </c>
      <c r="GC55" s="168">
        <f t="shared" si="246"/>
        <v>0.56785714285714284</v>
      </c>
      <c r="GD55" s="154">
        <f t="shared" si="97"/>
        <v>21</v>
      </c>
      <c r="GE55" s="181">
        <f t="shared" si="98"/>
        <v>13.584745762711865</v>
      </c>
      <c r="GF55" s="181">
        <f t="shared" si="34"/>
        <v>11.265193704600485</v>
      </c>
      <c r="GG55" s="154">
        <f t="shared" si="99"/>
        <v>9.5</v>
      </c>
      <c r="GH55" s="181">
        <f t="shared" si="100"/>
        <v>12.082142857142857</v>
      </c>
      <c r="GI55" s="181">
        <f t="shared" si="101"/>
        <v>25.840004492362986</v>
      </c>
      <c r="GJ55" s="181">
        <f t="shared" si="102"/>
        <v>25.840004492362986</v>
      </c>
      <c r="GK55" s="181">
        <f t="shared" si="103"/>
        <v>9.5</v>
      </c>
      <c r="GL55" s="157">
        <f t="shared" si="104"/>
        <v>164.22428571428574</v>
      </c>
      <c r="GM55" s="157">
        <f t="shared" si="105"/>
        <v>814.19999999999993</v>
      </c>
      <c r="GN55" s="157">
        <f t="shared" si="106"/>
        <v>0</v>
      </c>
      <c r="GO55" s="157">
        <f t="shared" si="107"/>
        <v>649.97571428571416</v>
      </c>
      <c r="GP55" s="157">
        <f t="shared" si="108"/>
        <v>1014.3000000000001</v>
      </c>
      <c r="GQ55" s="157">
        <f t="shared" si="109"/>
        <v>1186.991119071391</v>
      </c>
      <c r="GR55" s="157">
        <f t="shared" si="110"/>
        <v>1664.2757142857142</v>
      </c>
      <c r="GS55" s="200">
        <f t="shared" si="111"/>
        <v>1</v>
      </c>
      <c r="GT55" s="157">
        <f t="shared" si="112"/>
        <v>1186.991119071391</v>
      </c>
      <c r="GU55" s="157">
        <f t="shared" si="113"/>
        <v>645.54794520547944</v>
      </c>
      <c r="GV55" s="162">
        <f t="shared" si="114"/>
        <v>1122.8325404198029</v>
      </c>
      <c r="GW55" s="157">
        <f t="shared" si="115"/>
        <v>875</v>
      </c>
      <c r="GX55" s="157">
        <f t="shared" si="247"/>
        <v>525</v>
      </c>
      <c r="GY55" s="207">
        <f t="shared" si="35"/>
        <v>350</v>
      </c>
      <c r="GZ55" s="207">
        <f t="shared" si="116"/>
        <v>350</v>
      </c>
      <c r="HA55" s="157">
        <f t="shared" si="117"/>
        <v>350</v>
      </c>
      <c r="HB55" s="157">
        <f t="shared" si="36"/>
        <v>525</v>
      </c>
      <c r="HC55" s="157">
        <f t="shared" si="37"/>
        <v>875</v>
      </c>
      <c r="HD55" s="168">
        <f t="shared" si="38"/>
        <v>101.85000000000015</v>
      </c>
      <c r="HE55" s="168">
        <f t="shared" si="118"/>
        <v>152.77500000000023</v>
      </c>
      <c r="HF55" s="168">
        <f t="shared" si="39"/>
        <v>254.6250000000004</v>
      </c>
      <c r="HG55" s="157">
        <f t="shared" si="119"/>
        <v>247.83254041980285</v>
      </c>
      <c r="HH55" s="168">
        <f t="shared" si="120"/>
        <v>0</v>
      </c>
      <c r="HI55" s="168">
        <f t="shared" si="121"/>
        <v>345.41441564977532</v>
      </c>
      <c r="HJ55" s="168">
        <f t="shared" si="122"/>
        <v>326.74426926216319</v>
      </c>
      <c r="HK55" s="168">
        <f t="shared" si="123"/>
        <v>72.119269262162746</v>
      </c>
      <c r="HL55" s="168">
        <f t="shared" si="124"/>
        <v>719.94795205479579</v>
      </c>
      <c r="HM55" s="157">
        <f t="shared" si="125"/>
        <v>875</v>
      </c>
      <c r="HN55" s="168">
        <f t="shared" si="126"/>
        <v>152.77500000000023</v>
      </c>
      <c r="HP55" s="168">
        <f t="shared" si="127"/>
        <v>236.93220000000034</v>
      </c>
      <c r="HQ55" s="168">
        <f t="shared" si="128"/>
        <v>189.14293285714314</v>
      </c>
      <c r="HR55" s="181"/>
      <c r="HU55" s="168">
        <f t="shared" si="287"/>
        <v>2.5</v>
      </c>
      <c r="HV55" s="161">
        <f t="shared" si="287"/>
        <v>350</v>
      </c>
      <c r="HW55" s="161">
        <f t="shared" si="40"/>
        <v>525</v>
      </c>
      <c r="HX55" s="161">
        <f t="shared" si="41"/>
        <v>875</v>
      </c>
      <c r="HY55" s="161">
        <v>291.00000000000045</v>
      </c>
      <c r="HZ55" s="168">
        <f t="shared" si="129"/>
        <v>2.5</v>
      </c>
      <c r="IA55" s="161">
        <v>234.5671428571429</v>
      </c>
      <c r="IB55" s="161">
        <v>351.85071428571433</v>
      </c>
      <c r="IC55" s="161">
        <v>586.4178571428572</v>
      </c>
      <c r="ID55" s="168">
        <f t="shared" si="288"/>
        <v>0.56785714285714284</v>
      </c>
      <c r="IE55" s="154">
        <f t="shared" si="130"/>
        <v>21</v>
      </c>
      <c r="IF55" s="154">
        <f t="shared" si="131"/>
        <v>9.5</v>
      </c>
      <c r="IG55" s="181">
        <f t="shared" si="132"/>
        <v>14.469642857142858</v>
      </c>
      <c r="IH55" s="181">
        <f t="shared" si="133"/>
        <v>16.769642857142856</v>
      </c>
      <c r="II55" s="181">
        <f t="shared" si="134"/>
        <v>9.5</v>
      </c>
      <c r="IJ55" s="181">
        <f t="shared" si="135"/>
        <v>25.990049415992814</v>
      </c>
      <c r="IK55" s="181">
        <f t="shared" si="136"/>
        <v>25.990049415992814</v>
      </c>
      <c r="IL55" s="181">
        <f t="shared" si="250"/>
        <v>0</v>
      </c>
      <c r="IM55" s="181">
        <f t="shared" si="137"/>
        <v>9.5</v>
      </c>
      <c r="IN55" s="157">
        <f t="shared" si="138"/>
        <v>462.3492857142856</v>
      </c>
      <c r="IO55" s="157">
        <f t="shared" si="139"/>
        <v>814.19999999999993</v>
      </c>
      <c r="IP55" s="157">
        <f t="shared" si="42"/>
        <v>0</v>
      </c>
      <c r="IQ55" s="157">
        <f t="shared" si="43"/>
        <v>351.85071428571433</v>
      </c>
      <c r="IR55" s="157">
        <f t="shared" si="140"/>
        <v>1014.3000000000001</v>
      </c>
      <c r="IS55" s="157">
        <f t="shared" si="141"/>
        <v>1186.991119071391</v>
      </c>
      <c r="IT55" s="157">
        <f t="shared" si="142"/>
        <v>1366.1507142857145</v>
      </c>
      <c r="IU55" s="200">
        <f t="shared" si="143"/>
        <v>1</v>
      </c>
      <c r="IV55" s="157">
        <f t="shared" si="144"/>
        <v>1186.991119071391</v>
      </c>
      <c r="IW55" s="157">
        <f t="shared" si="145"/>
        <v>645.54794520547944</v>
      </c>
      <c r="IX55" s="162">
        <f t="shared" si="146"/>
        <v>824.70754041980308</v>
      </c>
      <c r="IY55" s="157">
        <f t="shared" si="22"/>
        <v>824.70754041980308</v>
      </c>
      <c r="IZ55" s="157">
        <f t="shared" si="147"/>
        <v>351.85071428571433</v>
      </c>
      <c r="JA55" s="207">
        <f>IY55/HZ55</f>
        <v>329.88301616792126</v>
      </c>
      <c r="JB55" s="207">
        <f t="shared" si="149"/>
        <v>234.5671428571429</v>
      </c>
      <c r="JC55" s="157">
        <f t="shared" si="150"/>
        <v>234.5671428571429</v>
      </c>
      <c r="JD55" s="157">
        <f t="shared" si="151"/>
        <v>351.85071428571433</v>
      </c>
      <c r="JE55" s="157">
        <f t="shared" si="152"/>
        <v>586.4178571428572</v>
      </c>
      <c r="JF55" s="168">
        <f t="shared" si="153"/>
        <v>68.25903857142869</v>
      </c>
      <c r="JG55" s="168">
        <f t="shared" si="154"/>
        <v>102.38855785714304</v>
      </c>
      <c r="JH55" s="168">
        <f t="shared" si="155"/>
        <v>170.64759642857172</v>
      </c>
      <c r="JI55" s="157">
        <f t="shared" si="156"/>
        <v>238.28968327694588</v>
      </c>
      <c r="JJ55" s="168">
        <f t="shared" si="157"/>
        <v>0</v>
      </c>
      <c r="JK55" s="168">
        <f t="shared" si="158"/>
        <v>345.41441564977532</v>
      </c>
      <c r="JL55" s="168">
        <f t="shared" si="159"/>
        <v>239.98989426216306</v>
      </c>
      <c r="JM55" s="168">
        <f t="shared" si="160"/>
        <v>69.34229783359136</v>
      </c>
      <c r="JN55" s="168">
        <f t="shared" si="161"/>
        <v>719.94795205479579</v>
      </c>
      <c r="JO55" s="157">
        <f t="shared" si="162"/>
        <v>0</v>
      </c>
      <c r="JP55" s="168">
        <f t="shared" si="163"/>
        <v>102.38855785714304</v>
      </c>
      <c r="JR55" s="168">
        <f t="shared" si="164"/>
        <v>236.93220000000034</v>
      </c>
      <c r="JS55" s="168">
        <f t="shared" si="165"/>
        <v>102.38855785714304</v>
      </c>
      <c r="JT55" s="181"/>
      <c r="JW55" s="168">
        <f t="shared" ref="JW55:JX55" si="317">JW54</f>
        <v>2.5</v>
      </c>
      <c r="JX55" s="161">
        <f t="shared" si="317"/>
        <v>350</v>
      </c>
      <c r="JY55" s="161">
        <f t="shared" si="44"/>
        <v>525</v>
      </c>
      <c r="JZ55" s="161">
        <f t="shared" si="45"/>
        <v>875</v>
      </c>
      <c r="KA55" s="161">
        <v>291.00000000000045</v>
      </c>
      <c r="KB55" s="168">
        <f t="shared" si="166"/>
        <v>2.5</v>
      </c>
      <c r="KC55" s="161">
        <v>234.5671428571429</v>
      </c>
      <c r="KD55" s="161">
        <v>351.85071428571433</v>
      </c>
      <c r="KE55" s="161">
        <v>586.4178571428572</v>
      </c>
      <c r="KF55" s="168">
        <f t="shared" ref="KF55" si="318">KF54</f>
        <v>0.56785714285714284</v>
      </c>
      <c r="KG55" s="154">
        <f t="shared" si="167"/>
        <v>21</v>
      </c>
      <c r="KH55" s="154">
        <f t="shared" si="168"/>
        <v>9.5</v>
      </c>
      <c r="KI55" s="181">
        <f t="shared" si="169"/>
        <v>14.469642857142858</v>
      </c>
      <c r="KJ55" s="181">
        <f t="shared" si="170"/>
        <v>16.769642857142856</v>
      </c>
      <c r="KK55" s="181">
        <f t="shared" si="171"/>
        <v>9.5</v>
      </c>
      <c r="KL55" s="181">
        <f t="shared" si="172"/>
        <v>16.769642857142856</v>
      </c>
      <c r="KM55" s="181">
        <f t="shared" si="173"/>
        <v>16.769642857142856</v>
      </c>
      <c r="KN55" s="181">
        <f t="shared" si="253"/>
        <v>0</v>
      </c>
      <c r="KO55" s="181">
        <f t="shared" si="174"/>
        <v>9.5</v>
      </c>
      <c r="KP55" s="157">
        <f t="shared" si="175"/>
        <v>462.3492857142856</v>
      </c>
      <c r="KQ55" s="157">
        <f t="shared" si="46"/>
        <v>814.19999999999993</v>
      </c>
      <c r="KR55" s="157">
        <f t="shared" si="176"/>
        <v>0</v>
      </c>
      <c r="KS55" s="157">
        <f t="shared" si="177"/>
        <v>351.85071428571433</v>
      </c>
      <c r="KT55" s="157">
        <f t="shared" si="178"/>
        <v>1014.3000000000001</v>
      </c>
      <c r="KU55" s="157">
        <f t="shared" si="179"/>
        <v>1186.991119071391</v>
      </c>
      <c r="KV55" s="157">
        <f t="shared" si="180"/>
        <v>1366.1507142857145</v>
      </c>
      <c r="KW55" s="200">
        <f t="shared" si="181"/>
        <v>1</v>
      </c>
      <c r="KX55" s="157">
        <f t="shared" si="182"/>
        <v>1186.991119071391</v>
      </c>
      <c r="KY55" s="157">
        <f t="shared" si="183"/>
        <v>645.54794520547944</v>
      </c>
      <c r="KZ55" s="162">
        <f t="shared" si="47"/>
        <v>824.70754041980308</v>
      </c>
      <c r="LA55" s="157">
        <f t="shared" si="184"/>
        <v>824.70754041980308</v>
      </c>
      <c r="LB55" s="157">
        <f t="shared" si="185"/>
        <v>351.85071428571433</v>
      </c>
      <c r="LC55" s="207">
        <f t="shared" si="186"/>
        <v>329.88301616792126</v>
      </c>
      <c r="LD55" s="207">
        <f t="shared" si="187"/>
        <v>234.5671428571429</v>
      </c>
      <c r="LE55" s="157">
        <f t="shared" si="188"/>
        <v>234.5671428571429</v>
      </c>
      <c r="LF55" s="157">
        <f t="shared" si="189"/>
        <v>351.85071428571433</v>
      </c>
      <c r="LG55" s="157">
        <f t="shared" si="190"/>
        <v>586.4178571428572</v>
      </c>
      <c r="LH55" s="168">
        <f t="shared" si="191"/>
        <v>68.25903857142869</v>
      </c>
      <c r="LI55" s="168">
        <f t="shared" si="192"/>
        <v>102.38855785714304</v>
      </c>
      <c r="LJ55" s="168">
        <f t="shared" si="193"/>
        <v>170.64759642857172</v>
      </c>
      <c r="LK55" s="157">
        <f t="shared" si="194"/>
        <v>238.28968327694588</v>
      </c>
      <c r="LL55" s="168">
        <f t="shared" si="195"/>
        <v>0</v>
      </c>
      <c r="LM55" s="168">
        <f t="shared" si="196"/>
        <v>345.41441564977532</v>
      </c>
      <c r="LN55" s="168">
        <f t="shared" si="197"/>
        <v>239.98989426216306</v>
      </c>
      <c r="LO55" s="168">
        <f t="shared" si="198"/>
        <v>69.34229783359136</v>
      </c>
      <c r="LP55" s="168">
        <f t="shared" si="199"/>
        <v>719.94795205479579</v>
      </c>
      <c r="LQ55" s="157">
        <f t="shared" si="200"/>
        <v>0</v>
      </c>
      <c r="LR55" s="168">
        <f t="shared" si="201"/>
        <v>102.38855785714304</v>
      </c>
      <c r="LT55" s="168">
        <f t="shared" si="202"/>
        <v>236.93220000000034</v>
      </c>
      <c r="LU55" s="168">
        <f t="shared" si="203"/>
        <v>102.38855785714304</v>
      </c>
      <c r="LV55" s="181"/>
      <c r="LY55" s="168">
        <f t="shared" si="291"/>
        <v>2.5</v>
      </c>
      <c r="LZ55" s="161">
        <f t="shared" si="291"/>
        <v>350</v>
      </c>
      <c r="MA55" s="161">
        <f t="shared" si="48"/>
        <v>525</v>
      </c>
      <c r="MB55" s="161">
        <f t="shared" si="49"/>
        <v>875</v>
      </c>
      <c r="MC55" s="161">
        <v>291.00000000000045</v>
      </c>
      <c r="MD55" s="168">
        <f t="shared" si="204"/>
        <v>2.5</v>
      </c>
      <c r="ME55" s="161">
        <v>350</v>
      </c>
      <c r="MF55" s="161">
        <v>525</v>
      </c>
      <c r="MG55" s="161">
        <v>875</v>
      </c>
      <c r="MH55" s="168">
        <f t="shared" si="292"/>
        <v>0.56785714285714284</v>
      </c>
      <c r="MI55" s="154">
        <f t="shared" si="205"/>
        <v>21</v>
      </c>
      <c r="MJ55" s="181">
        <f t="shared" si="206"/>
        <v>13.584745762711865</v>
      </c>
      <c r="MK55" s="181">
        <f t="shared" si="207"/>
        <v>11.265193704600485</v>
      </c>
      <c r="ML55" s="154">
        <f t="shared" si="208"/>
        <v>9.5</v>
      </c>
      <c r="MM55" s="181">
        <f t="shared" si="209"/>
        <v>12.082142857142857</v>
      </c>
      <c r="MN55" s="181">
        <f t="shared" si="210"/>
        <v>12.082142857142857</v>
      </c>
      <c r="MO55" s="181">
        <f t="shared" si="211"/>
        <v>15</v>
      </c>
      <c r="MP55" s="181">
        <f t="shared" si="212"/>
        <v>9.5</v>
      </c>
      <c r="MQ55" s="157">
        <f t="shared" si="50"/>
        <v>164.22428571428574</v>
      </c>
      <c r="MR55" s="157">
        <f t="shared" si="213"/>
        <v>814.19999999999993</v>
      </c>
      <c r="MS55" s="157">
        <f t="shared" si="214"/>
        <v>185.57571428571427</v>
      </c>
      <c r="MT55" s="157">
        <f t="shared" si="215"/>
        <v>464.39999999999986</v>
      </c>
      <c r="MU55" s="157">
        <f t="shared" si="216"/>
        <v>1014.3000000000001</v>
      </c>
      <c r="MV55" s="157">
        <f t="shared" si="217"/>
        <v>1186.991119071391</v>
      </c>
      <c r="MW55" s="157">
        <f t="shared" si="218"/>
        <v>1478.6999999999998</v>
      </c>
      <c r="MX55" s="200">
        <f t="shared" si="219"/>
        <v>1</v>
      </c>
      <c r="MY55" s="157">
        <f t="shared" si="220"/>
        <v>1186.991119071391</v>
      </c>
      <c r="MZ55" s="157">
        <f t="shared" si="221"/>
        <v>645.54794520547944</v>
      </c>
      <c r="NA55" s="162">
        <f t="shared" si="222"/>
        <v>1122.8325404198029</v>
      </c>
      <c r="NB55" s="157">
        <f t="shared" si="223"/>
        <v>875</v>
      </c>
      <c r="NC55" s="157">
        <f t="shared" si="224"/>
        <v>525</v>
      </c>
      <c r="ND55" s="207">
        <f t="shared" si="51"/>
        <v>350</v>
      </c>
      <c r="NE55" s="207">
        <f t="shared" si="225"/>
        <v>350</v>
      </c>
      <c r="NF55" s="157">
        <f t="shared" si="226"/>
        <v>350</v>
      </c>
      <c r="NG55" s="157">
        <f t="shared" si="52"/>
        <v>525</v>
      </c>
      <c r="NH55" s="157">
        <f t="shared" si="53"/>
        <v>875</v>
      </c>
      <c r="NI55" s="168">
        <f t="shared" si="227"/>
        <v>101.85000000000015</v>
      </c>
      <c r="NJ55" s="168">
        <f t="shared" si="228"/>
        <v>152.77500000000023</v>
      </c>
      <c r="NK55" s="168">
        <f t="shared" si="229"/>
        <v>254.6250000000004</v>
      </c>
      <c r="NL55" s="157">
        <f t="shared" si="230"/>
        <v>247.83254041980285</v>
      </c>
      <c r="NM55" s="168">
        <f t="shared" si="231"/>
        <v>54.002532857142931</v>
      </c>
      <c r="NN55" s="168">
        <f t="shared" si="232"/>
        <v>345.41441564977532</v>
      </c>
      <c r="NO55" s="168">
        <f t="shared" si="233"/>
        <v>326.74426926216319</v>
      </c>
      <c r="NP55" s="168">
        <f t="shared" si="234"/>
        <v>72.119269262162746</v>
      </c>
      <c r="NQ55" s="168">
        <f t="shared" si="235"/>
        <v>719.94795205479579</v>
      </c>
      <c r="NR55" s="157">
        <f t="shared" si="236"/>
        <v>185.57571428571421</v>
      </c>
      <c r="NS55" s="168">
        <f t="shared" si="237"/>
        <v>152.77500000000023</v>
      </c>
      <c r="NT55" s="157">
        <f t="shared" ref="NT55:NT74" si="319">(MU55+MR55+MZ55)</f>
        <v>2474.0479452054797</v>
      </c>
      <c r="NU55" s="168">
        <f t="shared" si="239"/>
        <v>236.93220000000034</v>
      </c>
      <c r="NV55" s="168">
        <f t="shared" si="240"/>
        <v>189.14293285714314</v>
      </c>
      <c r="NW55" s="181"/>
      <c r="NX55" s="157"/>
      <c r="NY55" s="157"/>
      <c r="NZ55" s="157"/>
      <c r="OA55" s="157"/>
      <c r="OB55" s="157"/>
    </row>
    <row r="56" spans="1:392" ht="13" x14ac:dyDescent="0.3">
      <c r="A56" s="154">
        <v>68.80136986301369</v>
      </c>
      <c r="B56" s="154">
        <v>10.5</v>
      </c>
      <c r="C56" s="154">
        <f t="shared" ref="C56:C74" si="320">MAX($C$21*($C$19-B56)+B56,B56)</f>
        <v>10.5</v>
      </c>
      <c r="D56" s="154">
        <v>31078.100000000013</v>
      </c>
      <c r="E56" s="200">
        <f t="shared" si="242"/>
        <v>109.42992957746523</v>
      </c>
      <c r="F56" s="181">
        <f t="shared" si="54"/>
        <v>926.1</v>
      </c>
      <c r="G56" s="161">
        <f t="shared" si="258"/>
        <v>283.99999999999898</v>
      </c>
      <c r="H56" s="154">
        <f t="shared" si="55"/>
        <v>0.92610000000000003</v>
      </c>
      <c r="I56" s="161">
        <f t="shared" si="56"/>
        <v>2981.9999999999891</v>
      </c>
      <c r="J56" s="181">
        <f t="shared" si="57"/>
        <v>21</v>
      </c>
      <c r="K56" s="181">
        <f t="shared" si="58"/>
        <v>13.584745762711865</v>
      </c>
      <c r="L56" s="181">
        <f t="shared" si="59"/>
        <v>11.833050847457628</v>
      </c>
      <c r="M56" s="181">
        <f t="shared" si="60"/>
        <v>10.5</v>
      </c>
      <c r="N56" s="181">
        <f t="shared" si="61"/>
        <v>12.45</v>
      </c>
      <c r="O56" s="181">
        <f t="shared" si="62"/>
        <v>12.45</v>
      </c>
      <c r="P56" s="181">
        <f t="shared" si="63"/>
        <v>15</v>
      </c>
      <c r="Q56" s="181">
        <f t="shared" si="64"/>
        <v>17.953144654088049</v>
      </c>
      <c r="R56" s="168">
        <f t="shared" si="65"/>
        <v>248.49999999999909</v>
      </c>
      <c r="S56" s="161">
        <f t="shared" si="66"/>
        <v>301.21737160934384</v>
      </c>
      <c r="T56" s="161">
        <f t="shared" si="67"/>
        <v>46.900124924614467</v>
      </c>
      <c r="U56" s="161">
        <f t="shared" si="68"/>
        <v>27.176486602519315</v>
      </c>
      <c r="V56" s="154">
        <f t="shared" si="69"/>
        <v>0.16218000000000005</v>
      </c>
      <c r="W56" s="154">
        <f t="shared" si="70"/>
        <v>6.1604547920228736E-2</v>
      </c>
      <c r="X56" s="154">
        <f t="shared" si="71"/>
        <v>1.0606245479202285</v>
      </c>
      <c r="Y56" s="154">
        <f t="shared" si="72"/>
        <v>2.3150479452054795</v>
      </c>
      <c r="Z56" s="154">
        <f t="shared" ref="Z56:Z74" si="321">($FX$3*GM56+$HY$3*IO56+$KA$3*KQ56+$MC$3*MR56)/(1000)</f>
        <v>0.74339999999999995</v>
      </c>
      <c r="AA56" s="154">
        <f t="shared" ref="AA56:AA74" si="322">($FX$3*GT56+$HY$3*IV56+$KA$3*KX56+$MC$3*MY56)/(1000)</f>
        <v>1.254423397285251</v>
      </c>
      <c r="AB56" s="154">
        <f t="shared" ref="AB56:AB74" si="323">($FX$3*GV56+$HY$3*IX56+$KA$3*KZ56+$MC$3*NA56)/(1000)</f>
        <v>0.93660454792022874</v>
      </c>
      <c r="AC56" s="154">
        <f t="shared" ref="AC56:AC74" si="324">($FX$3*GU56+$HY$3*IW56+$KA$3*KY56+$MC$3*MZ56)/(1000)</f>
        <v>0.64554794520547942</v>
      </c>
      <c r="AD56" s="154">
        <f t="shared" ref="AD56:AD74" si="325">($FX$3*HA56+$HY$3*JC56+$KA$3*LE56+$MC$3*NF56)/(1000)</f>
        <v>0.35</v>
      </c>
      <c r="AE56" s="154">
        <f t="shared" ref="AE56:AE74" si="326">($FX$3*HB56+$HY$3*JD56+$KA$3*LF56+$MC$3*NG56)/(1000)</f>
        <v>0.52500000000000002</v>
      </c>
      <c r="AF56" s="154">
        <f t="shared" ref="AF56:AF74" si="327">($FX$3*HC56+$HY$3*JE56+$KA$3*LG56+$MC$3*NH56)/(1000)</f>
        <v>0.875</v>
      </c>
      <c r="AG56" s="154">
        <f t="shared" si="75"/>
        <v>0.12401999999999999</v>
      </c>
      <c r="AH56" s="154">
        <f t="shared" si="76"/>
        <v>0.99902000000000002</v>
      </c>
      <c r="AI56" s="154">
        <f t="shared" si="77"/>
        <v>0.58732876712328763</v>
      </c>
      <c r="AJ56" s="154">
        <f t="shared" si="78"/>
        <v>5.8219178082191785E-2</v>
      </c>
      <c r="AK56" s="154">
        <f t="shared" si="79"/>
        <v>0</v>
      </c>
      <c r="AL56" s="161">
        <f t="shared" si="80"/>
        <v>587.32876712328766</v>
      </c>
      <c r="AM56" s="161">
        <f t="shared" si="81"/>
        <v>58.219178082191782</v>
      </c>
      <c r="AN56" s="161">
        <f t="shared" si="82"/>
        <v>0</v>
      </c>
      <c r="AO56" s="161"/>
      <c r="AP56" s="154">
        <f t="shared" si="83"/>
        <v>0.64554794520547942</v>
      </c>
      <c r="AQ56" s="154">
        <f t="shared" si="84"/>
        <v>0.64554794520547942</v>
      </c>
      <c r="AR56" s="154">
        <f t="shared" si="85"/>
        <v>1.1612</v>
      </c>
      <c r="AS56" s="161"/>
      <c r="AT56" s="161"/>
      <c r="AU56" s="161"/>
      <c r="AV56" s="161"/>
      <c r="AW56" s="181"/>
      <c r="AX56" s="181"/>
      <c r="AY56" s="181"/>
      <c r="AZ56" s="181"/>
      <c r="BA56" s="181"/>
      <c r="BB56" s="161"/>
      <c r="BC56" s="161"/>
      <c r="BD56" s="161"/>
      <c r="BE56" s="181"/>
      <c r="BF56" s="168"/>
      <c r="BG56" s="181"/>
      <c r="BH56" s="168"/>
      <c r="BI56" s="168"/>
      <c r="BJ56" s="161"/>
      <c r="BK56" s="168"/>
      <c r="BL56" s="168"/>
      <c r="BM56" s="168"/>
      <c r="BN56" s="168"/>
      <c r="BO56" s="168">
        <f t="shared" si="86"/>
        <v>166.80136986301309</v>
      </c>
      <c r="BP56" s="168">
        <f t="shared" si="87"/>
        <v>16.534246575342408</v>
      </c>
      <c r="BQ56" s="168">
        <f t="shared" si="88"/>
        <v>0</v>
      </c>
      <c r="BR56" s="181"/>
      <c r="BS56" s="161"/>
      <c r="BT56" s="168"/>
      <c r="BU56" s="161"/>
      <c r="BV56" s="161"/>
      <c r="BW56" s="161"/>
      <c r="BX56" s="161"/>
      <c r="CB56" s="181">
        <f t="shared" si="89"/>
        <v>100.34740948539853</v>
      </c>
      <c r="CC56" s="181">
        <f t="shared" si="89"/>
        <v>0</v>
      </c>
      <c r="CD56" s="181">
        <f t="shared" si="89"/>
        <v>117.28731024056681</v>
      </c>
      <c r="CE56" s="181">
        <f t="shared" si="89"/>
        <v>0</v>
      </c>
      <c r="CF56" s="181">
        <f t="shared" si="89"/>
        <v>390.14805057330642</v>
      </c>
      <c r="CG56" s="181">
        <f t="shared" si="89"/>
        <v>0</v>
      </c>
      <c r="CH56" s="181">
        <f t="shared" si="89"/>
        <v>117.44062698597934</v>
      </c>
      <c r="CI56" s="181">
        <f t="shared" si="89"/>
        <v>0</v>
      </c>
      <c r="CJ56" s="182">
        <f t="shared" si="90"/>
        <v>725.22339728525105</v>
      </c>
      <c r="CK56" s="161">
        <f t="shared" si="91"/>
        <v>725.22339728525105</v>
      </c>
      <c r="CL56" s="161">
        <f t="shared" si="243"/>
        <v>529.19999999999993</v>
      </c>
      <c r="CM56" s="182">
        <f t="shared" si="92"/>
        <v>1254.423397285251</v>
      </c>
      <c r="CN56" s="157">
        <f t="shared" si="93"/>
        <v>205.96344482901054</v>
      </c>
      <c r="CO56" s="162">
        <f t="shared" si="94"/>
        <v>1254.423397285251</v>
      </c>
      <c r="FT56" s="168">
        <f t="shared" si="244"/>
        <v>2.5</v>
      </c>
      <c r="FU56" s="161">
        <f t="shared" si="245"/>
        <v>350</v>
      </c>
      <c r="FV56" s="161">
        <f t="shared" si="33"/>
        <v>525</v>
      </c>
      <c r="FW56" s="161">
        <f t="shared" si="95"/>
        <v>875</v>
      </c>
      <c r="FX56" s="161">
        <v>283.99999999999898</v>
      </c>
      <c r="FY56" s="168">
        <f t="shared" si="96"/>
        <v>2.5</v>
      </c>
      <c r="FZ56" s="161">
        <v>350</v>
      </c>
      <c r="GA56" s="161">
        <v>525</v>
      </c>
      <c r="GB56" s="161">
        <v>875</v>
      </c>
      <c r="GC56" s="168">
        <f t="shared" si="246"/>
        <v>0.56785714285714284</v>
      </c>
      <c r="GD56" s="154">
        <f t="shared" si="97"/>
        <v>21</v>
      </c>
      <c r="GE56" s="181">
        <f t="shared" si="98"/>
        <v>13.584745762711865</v>
      </c>
      <c r="GF56" s="181">
        <f t="shared" si="34"/>
        <v>11.833050847457628</v>
      </c>
      <c r="GG56" s="154">
        <f t="shared" si="99"/>
        <v>10.5</v>
      </c>
      <c r="GH56" s="181">
        <f t="shared" si="100"/>
        <v>12.45</v>
      </c>
      <c r="GI56" s="181">
        <f t="shared" si="101"/>
        <v>26.207861635220127</v>
      </c>
      <c r="GJ56" s="181">
        <f t="shared" si="102"/>
        <v>26.207861635220127</v>
      </c>
      <c r="GK56" s="181">
        <f t="shared" si="103"/>
        <v>10.5</v>
      </c>
      <c r="GL56" s="157">
        <f t="shared" si="104"/>
        <v>124.02</v>
      </c>
      <c r="GM56" s="157">
        <f t="shared" si="105"/>
        <v>743.4</v>
      </c>
      <c r="GN56" s="157">
        <f t="shared" si="106"/>
        <v>0</v>
      </c>
      <c r="GO56" s="157">
        <f t="shared" si="107"/>
        <v>619.38</v>
      </c>
      <c r="GP56" s="157">
        <f t="shared" si="108"/>
        <v>926.1</v>
      </c>
      <c r="GQ56" s="157">
        <f t="shared" si="109"/>
        <v>1254.423397285251</v>
      </c>
      <c r="GR56" s="157">
        <f t="shared" si="110"/>
        <v>1545.48</v>
      </c>
      <c r="GS56" s="200">
        <f t="shared" si="111"/>
        <v>1</v>
      </c>
      <c r="GT56" s="157">
        <f t="shared" si="112"/>
        <v>1254.423397285251</v>
      </c>
      <c r="GU56" s="157">
        <f t="shared" si="113"/>
        <v>645.54794520547944</v>
      </c>
      <c r="GV56" s="162">
        <f t="shared" si="114"/>
        <v>936.6045479202287</v>
      </c>
      <c r="GW56" s="157">
        <f t="shared" si="115"/>
        <v>875</v>
      </c>
      <c r="GX56" s="157">
        <f t="shared" si="247"/>
        <v>525</v>
      </c>
      <c r="GY56" s="207">
        <f t="shared" si="35"/>
        <v>350</v>
      </c>
      <c r="GZ56" s="207">
        <f t="shared" si="116"/>
        <v>350</v>
      </c>
      <c r="HA56" s="157">
        <f t="shared" si="117"/>
        <v>350</v>
      </c>
      <c r="HB56" s="157">
        <f t="shared" si="36"/>
        <v>525</v>
      </c>
      <c r="HC56" s="157">
        <f t="shared" si="37"/>
        <v>875</v>
      </c>
      <c r="HD56" s="168">
        <f t="shared" si="38"/>
        <v>99.399999999999636</v>
      </c>
      <c r="HE56" s="168">
        <f t="shared" si="118"/>
        <v>149.09999999999948</v>
      </c>
      <c r="HF56" s="168">
        <f t="shared" si="39"/>
        <v>248.49999999999909</v>
      </c>
      <c r="HG56" s="157">
        <f t="shared" si="119"/>
        <v>61.604547920228697</v>
      </c>
      <c r="HH56" s="168">
        <f t="shared" si="120"/>
        <v>0</v>
      </c>
      <c r="HI56" s="168">
        <f t="shared" si="121"/>
        <v>356.25624482900997</v>
      </c>
      <c r="HJ56" s="168">
        <f t="shared" si="122"/>
        <v>265.99569160934402</v>
      </c>
      <c r="HK56" s="168">
        <f t="shared" si="123"/>
        <v>17.495691609344885</v>
      </c>
      <c r="HL56" s="168">
        <f t="shared" si="124"/>
        <v>657.47361643835382</v>
      </c>
      <c r="HM56" s="157">
        <f t="shared" si="125"/>
        <v>875</v>
      </c>
      <c r="HN56" s="168">
        <f t="shared" si="126"/>
        <v>149.09999999999948</v>
      </c>
      <c r="HP56" s="168">
        <f t="shared" si="127"/>
        <v>211.12559999999922</v>
      </c>
      <c r="HQ56" s="168">
        <f t="shared" si="128"/>
        <v>175.90391999999937</v>
      </c>
      <c r="HR56" s="181"/>
      <c r="HU56" s="168">
        <f t="shared" si="287"/>
        <v>2.5</v>
      </c>
      <c r="HV56" s="161">
        <f t="shared" si="287"/>
        <v>350</v>
      </c>
      <c r="HW56" s="161">
        <f t="shared" si="40"/>
        <v>525</v>
      </c>
      <c r="HX56" s="161">
        <f t="shared" si="41"/>
        <v>875</v>
      </c>
      <c r="HY56" s="161">
        <v>283.99999999999898</v>
      </c>
      <c r="HZ56" s="168">
        <f t="shared" si="129"/>
        <v>2.5</v>
      </c>
      <c r="IA56" s="161">
        <v>214.17000000000007</v>
      </c>
      <c r="IB56" s="161">
        <v>321.25500000000011</v>
      </c>
      <c r="IC56" s="161">
        <v>535.42500000000018</v>
      </c>
      <c r="ID56" s="168">
        <f t="shared" si="288"/>
        <v>0.56785714285714284</v>
      </c>
      <c r="IE56" s="154">
        <f t="shared" si="130"/>
        <v>21</v>
      </c>
      <c r="IF56" s="154">
        <f t="shared" si="131"/>
        <v>10.5</v>
      </c>
      <c r="IG56" s="181">
        <f t="shared" si="132"/>
        <v>15.037500000000001</v>
      </c>
      <c r="IH56" s="181">
        <f>IF56+$GA$14/$GA$15*(IE56-IG56)</f>
        <v>17.137499999999999</v>
      </c>
      <c r="II56" s="181">
        <f t="shared" si="134"/>
        <v>10.5</v>
      </c>
      <c r="IJ56" s="181">
        <f>IH56+HZ56*IA56/(1.2*$GA$15)</f>
        <v>25.556132075471702</v>
      </c>
      <c r="IK56" s="181">
        <f t="shared" si="136"/>
        <v>25.556132075471702</v>
      </c>
      <c r="IL56" s="181">
        <f t="shared" si="250"/>
        <v>0</v>
      </c>
      <c r="IM56" s="181">
        <f t="shared" si="137"/>
        <v>10.5</v>
      </c>
      <c r="IN56" s="157">
        <f t="shared" si="138"/>
        <v>422.14499999999987</v>
      </c>
      <c r="IO56" s="157">
        <f t="shared" si="139"/>
        <v>743.4</v>
      </c>
      <c r="IP56" s="157">
        <f t="shared" si="42"/>
        <v>0</v>
      </c>
      <c r="IQ56" s="157">
        <f t="shared" si="43"/>
        <v>321.25500000000011</v>
      </c>
      <c r="IR56" s="157">
        <f t="shared" si="140"/>
        <v>926.1</v>
      </c>
      <c r="IS56" s="157">
        <f t="shared" si="141"/>
        <v>1254.423397285251</v>
      </c>
      <c r="IT56" s="157">
        <f>IR56+IQ56</f>
        <v>1247.355</v>
      </c>
      <c r="IU56" s="200">
        <f t="shared" si="143"/>
        <v>0.99436522206095013</v>
      </c>
      <c r="IV56" s="157">
        <f t="shared" si="144"/>
        <v>1247.355</v>
      </c>
      <c r="IW56" s="157">
        <f t="shared" si="145"/>
        <v>645.54794520547944</v>
      </c>
      <c r="IX56" s="162">
        <f t="shared" si="146"/>
        <v>645.54794520547978</v>
      </c>
      <c r="IY56" s="157">
        <f t="shared" si="22"/>
        <v>645.54794520547978</v>
      </c>
      <c r="IZ56" s="157">
        <f t="shared" si="147"/>
        <v>321.25500000000011</v>
      </c>
      <c r="JA56" s="207">
        <f t="shared" si="148"/>
        <v>258.21917808219189</v>
      </c>
      <c r="JB56" s="207">
        <f t="shared" si="149"/>
        <v>214.17000000000007</v>
      </c>
      <c r="JC56" s="157">
        <f t="shared" si="150"/>
        <v>214.17000000000007</v>
      </c>
      <c r="JD56" s="157">
        <f t="shared" si="151"/>
        <v>321.25500000000011</v>
      </c>
      <c r="JE56" s="157">
        <f t="shared" si="152"/>
        <v>535.42500000000018</v>
      </c>
      <c r="JF56" s="168">
        <f t="shared" si="153"/>
        <v>60.824279999999803</v>
      </c>
      <c r="JG56" s="168">
        <f t="shared" si="154"/>
        <v>91.236419999999711</v>
      </c>
      <c r="JH56" s="168">
        <f t="shared" si="155"/>
        <v>152.06069999999949</v>
      </c>
      <c r="JI56" s="157">
        <f t="shared" si="156"/>
        <v>110.1229452054796</v>
      </c>
      <c r="JJ56" s="168">
        <f t="shared" si="157"/>
        <v>0</v>
      </c>
      <c r="JK56" s="168">
        <f t="shared" si="158"/>
        <v>354.24881999999872</v>
      </c>
      <c r="JL56" s="168">
        <f t="shared" si="159"/>
        <v>183.3356164383556</v>
      </c>
      <c r="JM56" s="168">
        <f t="shared" si="160"/>
        <v>31.27491643835609</v>
      </c>
      <c r="JN56" s="168">
        <f t="shared" si="161"/>
        <v>657.47361643835382</v>
      </c>
      <c r="JO56" s="157">
        <f t="shared" si="162"/>
        <v>0</v>
      </c>
      <c r="JP56" s="168">
        <f t="shared" si="163"/>
        <v>91.236419999999711</v>
      </c>
      <c r="JR56" s="168">
        <f t="shared" si="164"/>
        <v>211.12559999999922</v>
      </c>
      <c r="JS56" s="168">
        <f t="shared" si="165"/>
        <v>91.236419999999711</v>
      </c>
      <c r="JT56" s="181"/>
      <c r="JW56" s="168">
        <f t="shared" ref="JW56:JX56" si="328">JW55</f>
        <v>2.5</v>
      </c>
      <c r="JX56" s="161">
        <f t="shared" si="328"/>
        <v>350</v>
      </c>
      <c r="JY56" s="161">
        <f t="shared" si="44"/>
        <v>525</v>
      </c>
      <c r="JZ56" s="161">
        <f t="shared" si="45"/>
        <v>875</v>
      </c>
      <c r="KA56" s="161">
        <v>283.99999999999898</v>
      </c>
      <c r="KB56" s="168">
        <f t="shared" si="166"/>
        <v>2.5</v>
      </c>
      <c r="KC56" s="161">
        <v>214.17000000000007</v>
      </c>
      <c r="KD56" s="161">
        <v>321.25500000000011</v>
      </c>
      <c r="KE56" s="161">
        <v>535.42500000000018</v>
      </c>
      <c r="KF56" s="168">
        <f t="shared" ref="KF56" si="329">KF55</f>
        <v>0.56785714285714284</v>
      </c>
      <c r="KG56" s="154">
        <f t="shared" si="167"/>
        <v>21</v>
      </c>
      <c r="KH56" s="154">
        <f t="shared" si="168"/>
        <v>10.5</v>
      </c>
      <c r="KI56" s="181">
        <f t="shared" si="169"/>
        <v>15.037500000000001</v>
      </c>
      <c r="KJ56" s="181">
        <f t="shared" si="170"/>
        <v>17.137499999999999</v>
      </c>
      <c r="KK56" s="181">
        <f t="shared" si="171"/>
        <v>10.5</v>
      </c>
      <c r="KL56" s="181">
        <f t="shared" si="172"/>
        <v>17.137499999999999</v>
      </c>
      <c r="KM56" s="181">
        <f t="shared" si="173"/>
        <v>17.137499999999999</v>
      </c>
      <c r="KN56" s="181">
        <f t="shared" si="253"/>
        <v>0</v>
      </c>
      <c r="KO56" s="181">
        <f t="shared" si="174"/>
        <v>10.5</v>
      </c>
      <c r="KP56" s="157">
        <f t="shared" si="175"/>
        <v>422.14499999999987</v>
      </c>
      <c r="KQ56" s="157">
        <f t="shared" si="46"/>
        <v>743.4</v>
      </c>
      <c r="KR56" s="157">
        <f t="shared" si="176"/>
        <v>0</v>
      </c>
      <c r="KS56" s="157">
        <f t="shared" si="177"/>
        <v>321.25500000000011</v>
      </c>
      <c r="KT56" s="157">
        <f t="shared" si="178"/>
        <v>926.1</v>
      </c>
      <c r="KU56" s="157">
        <f t="shared" si="179"/>
        <v>1254.423397285251</v>
      </c>
      <c r="KV56" s="157">
        <f t="shared" si="180"/>
        <v>1247.355</v>
      </c>
      <c r="KW56" s="200">
        <f t="shared" si="181"/>
        <v>0.99436522206095013</v>
      </c>
      <c r="KX56" s="157">
        <f t="shared" si="182"/>
        <v>1247.355</v>
      </c>
      <c r="KY56" s="157">
        <f t="shared" si="183"/>
        <v>645.54794520547944</v>
      </c>
      <c r="KZ56" s="162">
        <f t="shared" si="47"/>
        <v>645.54794520547978</v>
      </c>
      <c r="LA56" s="157">
        <f t="shared" si="184"/>
        <v>645.54794520547978</v>
      </c>
      <c r="LB56" s="157">
        <f t="shared" si="185"/>
        <v>321.25500000000011</v>
      </c>
      <c r="LC56" s="207">
        <f t="shared" si="186"/>
        <v>258.21917808219189</v>
      </c>
      <c r="LD56" s="207">
        <f t="shared" si="187"/>
        <v>214.17000000000007</v>
      </c>
      <c r="LE56" s="157">
        <f t="shared" si="188"/>
        <v>214.17000000000007</v>
      </c>
      <c r="LF56" s="157">
        <f t="shared" si="189"/>
        <v>321.25500000000011</v>
      </c>
      <c r="LG56" s="157">
        <f t="shared" si="190"/>
        <v>535.42500000000018</v>
      </c>
      <c r="LH56" s="168">
        <f t="shared" si="191"/>
        <v>60.824279999999803</v>
      </c>
      <c r="LI56" s="168">
        <f t="shared" si="192"/>
        <v>91.236419999999711</v>
      </c>
      <c r="LJ56" s="168">
        <f t="shared" si="193"/>
        <v>152.06069999999949</v>
      </c>
      <c r="LK56" s="157">
        <f t="shared" si="194"/>
        <v>110.1229452054796</v>
      </c>
      <c r="LL56" s="168">
        <f t="shared" si="195"/>
        <v>0</v>
      </c>
      <c r="LM56" s="168">
        <f t="shared" si="196"/>
        <v>354.24881999999872</v>
      </c>
      <c r="LN56" s="168">
        <f t="shared" si="197"/>
        <v>183.3356164383556</v>
      </c>
      <c r="LO56" s="168">
        <f t="shared" si="198"/>
        <v>31.27491643835609</v>
      </c>
      <c r="LP56" s="168">
        <f t="shared" si="199"/>
        <v>657.47361643835382</v>
      </c>
      <c r="LQ56" s="157">
        <f t="shared" si="200"/>
        <v>0</v>
      </c>
      <c r="LR56" s="168">
        <f t="shared" si="201"/>
        <v>91.236419999999711</v>
      </c>
      <c r="LT56" s="168">
        <f t="shared" si="202"/>
        <v>211.12559999999922</v>
      </c>
      <c r="LU56" s="168">
        <f t="shared" si="203"/>
        <v>91.236419999999711</v>
      </c>
      <c r="LV56" s="181"/>
      <c r="LY56" s="168">
        <f t="shared" si="291"/>
        <v>2.5</v>
      </c>
      <c r="LZ56" s="161">
        <f t="shared" si="291"/>
        <v>350</v>
      </c>
      <c r="MA56" s="161">
        <f t="shared" si="48"/>
        <v>525</v>
      </c>
      <c r="MB56" s="161">
        <f t="shared" si="49"/>
        <v>875</v>
      </c>
      <c r="MC56" s="161">
        <v>283.99999999999898</v>
      </c>
      <c r="MD56" s="168">
        <f t="shared" si="204"/>
        <v>2.5</v>
      </c>
      <c r="ME56" s="161">
        <v>350</v>
      </c>
      <c r="MF56" s="161">
        <v>525</v>
      </c>
      <c r="MG56" s="161">
        <v>875</v>
      </c>
      <c r="MH56" s="168">
        <f t="shared" si="292"/>
        <v>0.56785714285714284</v>
      </c>
      <c r="MI56" s="154">
        <f t="shared" si="205"/>
        <v>21</v>
      </c>
      <c r="MJ56" s="181">
        <f t="shared" si="206"/>
        <v>13.584745762711865</v>
      </c>
      <c r="MK56" s="181">
        <f t="shared" si="207"/>
        <v>11.833050847457628</v>
      </c>
      <c r="ML56" s="154">
        <f t="shared" si="208"/>
        <v>10.5</v>
      </c>
      <c r="MM56" s="181">
        <f t="shared" si="209"/>
        <v>12.45</v>
      </c>
      <c r="MN56" s="181">
        <f t="shared" si="210"/>
        <v>12.45</v>
      </c>
      <c r="MO56" s="181">
        <f t="shared" si="211"/>
        <v>15</v>
      </c>
      <c r="MP56" s="181">
        <f t="shared" si="212"/>
        <v>10.5</v>
      </c>
      <c r="MQ56" s="157">
        <f t="shared" si="50"/>
        <v>124.02</v>
      </c>
      <c r="MR56" s="157">
        <f t="shared" si="213"/>
        <v>743.4</v>
      </c>
      <c r="MS56" s="157">
        <f t="shared" si="214"/>
        <v>162.18000000000004</v>
      </c>
      <c r="MT56" s="157">
        <f t="shared" si="215"/>
        <v>457.19999999999993</v>
      </c>
      <c r="MU56" s="157">
        <f t="shared" si="216"/>
        <v>926.1</v>
      </c>
      <c r="MV56" s="157">
        <f t="shared" si="217"/>
        <v>1254.423397285251</v>
      </c>
      <c r="MW56" s="157">
        <f t="shared" si="218"/>
        <v>1383.3</v>
      </c>
      <c r="MX56" s="200">
        <f t="shared" si="219"/>
        <v>1</v>
      </c>
      <c r="MY56" s="157">
        <f t="shared" si="220"/>
        <v>1254.423397285251</v>
      </c>
      <c r="MZ56" s="157">
        <f t="shared" si="221"/>
        <v>645.54794520547944</v>
      </c>
      <c r="NA56" s="162">
        <f t="shared" si="222"/>
        <v>936.6045479202287</v>
      </c>
      <c r="NB56" s="157">
        <f t="shared" si="223"/>
        <v>875</v>
      </c>
      <c r="NC56" s="157">
        <f t="shared" si="224"/>
        <v>525</v>
      </c>
      <c r="ND56" s="207">
        <f t="shared" si="51"/>
        <v>350</v>
      </c>
      <c r="NE56" s="207">
        <f t="shared" si="225"/>
        <v>350</v>
      </c>
      <c r="NF56" s="157">
        <f t="shared" si="226"/>
        <v>350</v>
      </c>
      <c r="NG56" s="157">
        <f t="shared" si="52"/>
        <v>525</v>
      </c>
      <c r="NH56" s="157">
        <f t="shared" si="53"/>
        <v>875</v>
      </c>
      <c r="NI56" s="168">
        <f t="shared" si="227"/>
        <v>99.399999999999636</v>
      </c>
      <c r="NJ56" s="168">
        <f t="shared" si="228"/>
        <v>149.09999999999948</v>
      </c>
      <c r="NK56" s="168">
        <f t="shared" si="229"/>
        <v>248.49999999999909</v>
      </c>
      <c r="NL56" s="157">
        <f t="shared" si="230"/>
        <v>61.604547920228697</v>
      </c>
      <c r="NM56" s="168">
        <f t="shared" si="231"/>
        <v>46.059119999999844</v>
      </c>
      <c r="NN56" s="168">
        <f t="shared" si="232"/>
        <v>356.25624482900997</v>
      </c>
      <c r="NO56" s="168">
        <f t="shared" si="233"/>
        <v>265.99569160934402</v>
      </c>
      <c r="NP56" s="168">
        <f t="shared" si="234"/>
        <v>17.495691609344885</v>
      </c>
      <c r="NQ56" s="168">
        <f t="shared" si="235"/>
        <v>657.47361643835382</v>
      </c>
      <c r="NR56" s="157">
        <f t="shared" si="236"/>
        <v>162.18</v>
      </c>
      <c r="NS56" s="168">
        <f t="shared" si="237"/>
        <v>149.09999999999948</v>
      </c>
      <c r="NT56" s="157">
        <f t="shared" si="319"/>
        <v>2315.0479452054797</v>
      </c>
      <c r="NU56" s="168">
        <f t="shared" si="239"/>
        <v>211.12559999999922</v>
      </c>
      <c r="NV56" s="168">
        <f t="shared" si="240"/>
        <v>175.90391999999937</v>
      </c>
      <c r="NW56" s="181"/>
      <c r="NX56" s="157"/>
      <c r="NY56" s="157"/>
      <c r="NZ56" s="157"/>
      <c r="OA56" s="157"/>
      <c r="OB56" s="157"/>
    </row>
    <row r="57" spans="1:392" ht="13" x14ac:dyDescent="0.3">
      <c r="A57" s="154">
        <v>72.203196347031962</v>
      </c>
      <c r="B57" s="154">
        <v>11.5</v>
      </c>
      <c r="C57" s="154">
        <f t="shared" si="320"/>
        <v>11.5</v>
      </c>
      <c r="D57" s="154">
        <v>38707.199999999983</v>
      </c>
      <c r="E57" s="200">
        <f t="shared" si="242"/>
        <v>129.88993288590572</v>
      </c>
      <c r="F57" s="181">
        <f t="shared" si="54"/>
        <v>837.9</v>
      </c>
      <c r="G57" s="161">
        <f t="shared" si="258"/>
        <v>298.00000000000063</v>
      </c>
      <c r="H57" s="154">
        <f t="shared" si="55"/>
        <v>0.83789999999999998</v>
      </c>
      <c r="I57" s="161">
        <f t="shared" si="56"/>
        <v>2831.0000000000059</v>
      </c>
      <c r="J57" s="181">
        <f t="shared" si="57"/>
        <v>21</v>
      </c>
      <c r="K57" s="181">
        <f t="shared" si="58"/>
        <v>14.750197081775436</v>
      </c>
      <c r="L57" s="181">
        <f t="shared" si="59"/>
        <v>12.904549453195813</v>
      </c>
      <c r="M57" s="181">
        <f t="shared" si="60"/>
        <v>11.5</v>
      </c>
      <c r="N57" s="181">
        <f t="shared" si="61"/>
        <v>13.554588869550901</v>
      </c>
      <c r="O57" s="181">
        <f t="shared" si="62"/>
        <v>13.554588869550901</v>
      </c>
      <c r="P57" s="181">
        <f t="shared" si="63"/>
        <v>15</v>
      </c>
      <c r="Q57" s="181">
        <f t="shared" si="64"/>
        <v>18.192803291576325</v>
      </c>
      <c r="R57" s="168">
        <f t="shared" si="65"/>
        <v>219.76787574440903</v>
      </c>
      <c r="S57" s="161">
        <f t="shared" si="66"/>
        <v>258.70808767123333</v>
      </c>
      <c r="T57" s="161">
        <f t="shared" si="67"/>
        <v>45.400124924614452</v>
      </c>
      <c r="U57" s="161">
        <f t="shared" si="68"/>
        <v>25.150124924614452</v>
      </c>
      <c r="V57" s="154">
        <f t="shared" si="69"/>
        <v>9.1928147896562659E-2</v>
      </c>
      <c r="W57" s="154">
        <f>Y57-AG57-AA57-AF57</f>
        <v>0</v>
      </c>
      <c r="X57" s="154">
        <f t="shared" si="71"/>
        <v>0.86814794520547922</v>
      </c>
      <c r="Y57" s="154">
        <f t="shared" si="72"/>
        <v>2.1560479452054793</v>
      </c>
      <c r="Z57" s="154">
        <f t="shared" si="321"/>
        <v>0.67259999999999998</v>
      </c>
      <c r="AA57" s="154">
        <f t="shared" si="322"/>
        <v>1.2879</v>
      </c>
      <c r="AB57" s="154">
        <f t="shared" si="323"/>
        <v>0.73747609310204221</v>
      </c>
      <c r="AC57" s="154">
        <f t="shared" si="324"/>
        <v>0.64554794520547942</v>
      </c>
      <c r="AD57" s="154">
        <f t="shared" si="325"/>
        <v>0.29499043724081692</v>
      </c>
      <c r="AE57" s="154">
        <f t="shared" si="326"/>
        <v>0.4424856558612254</v>
      </c>
      <c r="AF57" s="154">
        <f t="shared" si="327"/>
        <v>0.73747609310204221</v>
      </c>
      <c r="AG57" s="154">
        <f t="shared" si="75"/>
        <v>0.13067185210343735</v>
      </c>
      <c r="AH57" s="154">
        <f t="shared" si="76"/>
        <v>0.86814794520547955</v>
      </c>
      <c r="AI57" s="154">
        <f t="shared" si="77"/>
        <v>0.58732876712328763</v>
      </c>
      <c r="AJ57" s="154">
        <f t="shared" si="78"/>
        <v>5.8219178082191785E-2</v>
      </c>
      <c r="AK57" s="154">
        <f t="shared" si="79"/>
        <v>0</v>
      </c>
      <c r="AL57" s="161">
        <f t="shared" si="80"/>
        <v>587.32876712328766</v>
      </c>
      <c r="AM57" s="161">
        <f t="shared" si="81"/>
        <v>58.219178082191782</v>
      </c>
      <c r="AN57" s="161">
        <f t="shared" si="82"/>
        <v>0</v>
      </c>
      <c r="AO57" s="161"/>
      <c r="AP57" s="154">
        <f t="shared" si="83"/>
        <v>0.64554794520547942</v>
      </c>
      <c r="AQ57" s="154">
        <f t="shared" si="84"/>
        <v>0.64554794520547942</v>
      </c>
      <c r="AR57" s="154">
        <f t="shared" si="85"/>
        <v>0.96007609310204223</v>
      </c>
      <c r="AS57" s="161"/>
      <c r="AT57" s="161"/>
      <c r="AU57" s="161"/>
      <c r="AV57" s="161"/>
      <c r="AW57" s="181"/>
      <c r="AX57" s="181"/>
      <c r="AY57" s="181"/>
      <c r="AZ57" s="181"/>
      <c r="BA57" s="181"/>
      <c r="BB57" s="161"/>
      <c r="BC57" s="161"/>
      <c r="BD57" s="161"/>
      <c r="BE57" s="181"/>
      <c r="BF57" s="168"/>
      <c r="BG57" s="181"/>
      <c r="BH57" s="168"/>
      <c r="BI57" s="168"/>
      <c r="BJ57" s="161"/>
      <c r="BK57" s="168"/>
      <c r="BL57" s="168"/>
      <c r="BM57" s="168"/>
      <c r="BN57" s="168"/>
      <c r="BO57" s="168">
        <f t="shared" si="86"/>
        <v>175.02397260274009</v>
      </c>
      <c r="BP57" s="168">
        <f t="shared" si="87"/>
        <v>17.349315068493187</v>
      </c>
      <c r="BQ57" s="168">
        <f t="shared" si="88"/>
        <v>0</v>
      </c>
      <c r="BR57" s="181"/>
      <c r="BS57" s="161"/>
      <c r="BT57" s="168"/>
      <c r="BU57" s="161"/>
      <c r="BV57" s="161"/>
      <c r="BW57" s="161"/>
      <c r="BX57" s="161"/>
      <c r="CB57" s="181">
        <f t="shared" si="89"/>
        <v>119.1092631939061</v>
      </c>
      <c r="CC57" s="181">
        <f t="shared" si="89"/>
        <v>0</v>
      </c>
      <c r="CD57" s="181">
        <f t="shared" si="89"/>
        <v>139.21640006842182</v>
      </c>
      <c r="CE57" s="181">
        <f t="shared" si="89"/>
        <v>0</v>
      </c>
      <c r="CF57" s="181">
        <f t="shared" si="89"/>
        <v>463.09363718140816</v>
      </c>
      <c r="CG57" s="181">
        <f t="shared" si="89"/>
        <v>0</v>
      </c>
      <c r="CH57" s="181">
        <f t="shared" si="89"/>
        <v>139.39838229073348</v>
      </c>
      <c r="CI57" s="181">
        <f t="shared" si="89"/>
        <v>0</v>
      </c>
      <c r="CJ57" s="182">
        <f t="shared" si="90"/>
        <v>860.8176827344696</v>
      </c>
      <c r="CK57" s="161">
        <f t="shared" si="91"/>
        <v>860.8176827344696</v>
      </c>
      <c r="CL57" s="161">
        <f t="shared" si="243"/>
        <v>529.19999999999993</v>
      </c>
      <c r="CM57" s="182">
        <f t="shared" si="92"/>
        <v>1390.0176827344694</v>
      </c>
      <c r="CN57" s="157">
        <f t="shared" si="93"/>
        <v>256.5236694548725</v>
      </c>
      <c r="CO57" s="162">
        <f t="shared" si="94"/>
        <v>1390.0176827344694</v>
      </c>
      <c r="FT57" s="168">
        <f t="shared" si="244"/>
        <v>2.5</v>
      </c>
      <c r="FU57" s="161">
        <f t="shared" si="245"/>
        <v>350</v>
      </c>
      <c r="FV57" s="161">
        <f t="shared" si="33"/>
        <v>525</v>
      </c>
      <c r="FW57" s="161">
        <f t="shared" si="95"/>
        <v>875</v>
      </c>
      <c r="FX57" s="161">
        <v>298.00000000000063</v>
      </c>
      <c r="FY57" s="168">
        <f t="shared" si="96"/>
        <v>2.5</v>
      </c>
      <c r="FZ57" s="161">
        <v>258.2191780844297</v>
      </c>
      <c r="GA57" s="161">
        <v>387.32876712664455</v>
      </c>
      <c r="GB57" s="161">
        <v>645.54794521107419</v>
      </c>
      <c r="GC57" s="168">
        <f t="shared" si="246"/>
        <v>0.56785714285714284</v>
      </c>
      <c r="GD57" s="154">
        <f t="shared" si="97"/>
        <v>21</v>
      </c>
      <c r="GE57" s="181">
        <f t="shared" si="98"/>
        <v>15.529254701601065</v>
      </c>
      <c r="GF57" s="181">
        <f t="shared" si="34"/>
        <v>13.241213638906174</v>
      </c>
      <c r="GG57" s="154">
        <f t="shared" si="99"/>
        <v>11.5</v>
      </c>
      <c r="GH57" s="181">
        <f t="shared" si="100"/>
        <v>14.047064579226388</v>
      </c>
      <c r="GI57" s="181">
        <f t="shared" si="101"/>
        <v>24.197189503928811</v>
      </c>
      <c r="GJ57" s="181">
        <f t="shared" si="102"/>
        <v>24.197189503928811</v>
      </c>
      <c r="GK57" s="181">
        <f t="shared" si="103"/>
        <v>11.5</v>
      </c>
      <c r="GL57" s="157">
        <f t="shared" si="104"/>
        <v>161.99330723879825</v>
      </c>
      <c r="GM57" s="157">
        <f t="shared" si="105"/>
        <v>672.6</v>
      </c>
      <c r="GN57" s="157">
        <f t="shared" si="106"/>
        <v>0</v>
      </c>
      <c r="GO57" s="157">
        <f t="shared" si="107"/>
        <v>510.60669276120177</v>
      </c>
      <c r="GP57" s="157">
        <f t="shared" si="108"/>
        <v>837.9</v>
      </c>
      <c r="GQ57" s="157">
        <f t="shared" si="109"/>
        <v>1390.0176827344694</v>
      </c>
      <c r="GR57" s="157">
        <f t="shared" si="110"/>
        <v>1348.5066927612017</v>
      </c>
      <c r="GS57" s="200">
        <f t="shared" si="111"/>
        <v>0.97013635834358125</v>
      </c>
      <c r="GT57" s="157">
        <f>GS57*GQ57</f>
        <v>1348.5066927612017</v>
      </c>
      <c r="GU57" s="157">
        <f t="shared" si="113"/>
        <v>645.54794520547944</v>
      </c>
      <c r="GV57" s="162">
        <f t="shared" si="114"/>
        <v>645.54794520547966</v>
      </c>
      <c r="GW57" s="157">
        <f t="shared" si="115"/>
        <v>645.54794520547966</v>
      </c>
      <c r="GX57" s="157">
        <f t="shared" si="247"/>
        <v>525</v>
      </c>
      <c r="GY57" s="207">
        <f>GW57/FY57</f>
        <v>258.21917808219189</v>
      </c>
      <c r="GZ57" s="207">
        <f t="shared" si="116"/>
        <v>350</v>
      </c>
      <c r="HA57" s="157">
        <f t="shared" si="117"/>
        <v>258.21917808241568</v>
      </c>
      <c r="HB57" s="157">
        <f t="shared" si="36"/>
        <v>387.32876712362349</v>
      </c>
      <c r="HC57" s="157">
        <f t="shared" si="37"/>
        <v>645.54794520603923</v>
      </c>
      <c r="HD57" s="168">
        <f t="shared" si="38"/>
        <v>76.94931506856004</v>
      </c>
      <c r="HE57" s="168">
        <f t="shared" si="118"/>
        <v>115.42397260284005</v>
      </c>
      <c r="HF57" s="168">
        <f t="shared" si="39"/>
        <v>192.37328767140008</v>
      </c>
      <c r="HG57" s="157">
        <f t="shared" si="119"/>
        <v>-5.595666152657941E-10</v>
      </c>
      <c r="HH57" s="168">
        <f t="shared" si="120"/>
        <v>0</v>
      </c>
      <c r="HI57" s="168">
        <f t="shared" si="121"/>
        <v>401.85499444283897</v>
      </c>
      <c r="HJ57" s="168">
        <f t="shared" si="122"/>
        <v>192.37328767123333</v>
      </c>
      <c r="HK57" s="168">
        <f t="shared" si="123"/>
        <v>0</v>
      </c>
      <c r="HL57" s="168">
        <f t="shared" si="124"/>
        <v>642.50228767123428</v>
      </c>
      <c r="HM57" s="157">
        <f t="shared" si="125"/>
        <v>645.54794521107408</v>
      </c>
      <c r="HN57" s="168">
        <f t="shared" si="126"/>
        <v>115.42397260284005</v>
      </c>
      <c r="HP57" s="168">
        <f t="shared" si="127"/>
        <v>200.43480000000042</v>
      </c>
      <c r="HQ57" s="168">
        <f t="shared" si="128"/>
        <v>152.16079444283844</v>
      </c>
      <c r="HR57" s="181"/>
      <c r="HU57" s="168">
        <f t="shared" si="287"/>
        <v>2.5</v>
      </c>
      <c r="HV57" s="161">
        <f t="shared" si="287"/>
        <v>350</v>
      </c>
      <c r="HW57" s="161">
        <f t="shared" si="40"/>
        <v>525</v>
      </c>
      <c r="HX57" s="161">
        <f t="shared" si="41"/>
        <v>875</v>
      </c>
      <c r="HY57" s="161">
        <v>298.00000000000063</v>
      </c>
      <c r="HZ57" s="168">
        <f t="shared" si="129"/>
        <v>2.5</v>
      </c>
      <c r="IA57" s="161">
        <v>193.77285714285713</v>
      </c>
      <c r="IB57" s="161">
        <v>290.65928571428572</v>
      </c>
      <c r="IC57" s="161">
        <v>484.43214285714282</v>
      </c>
      <c r="ID57" s="168">
        <f t="shared" si="288"/>
        <v>0.56785714285714284</v>
      </c>
      <c r="IE57" s="154">
        <f t="shared" si="130"/>
        <v>21</v>
      </c>
      <c r="IF57" s="154">
        <f t="shared" si="131"/>
        <v>11.5</v>
      </c>
      <c r="IG57" s="181">
        <f t="shared" si="132"/>
        <v>15.605357142857143</v>
      </c>
      <c r="IH57" s="181">
        <f t="shared" si="133"/>
        <v>17.505357142857143</v>
      </c>
      <c r="II57" s="181">
        <f t="shared" si="134"/>
        <v>11.5</v>
      </c>
      <c r="IJ57" s="181">
        <f t="shared" si="135"/>
        <v>25.122214734950585</v>
      </c>
      <c r="IK57" s="181">
        <f t="shared" si="136"/>
        <v>25.122214734950585</v>
      </c>
      <c r="IL57" s="181">
        <f t="shared" si="250"/>
        <v>0</v>
      </c>
      <c r="IM57" s="181">
        <f t="shared" si="137"/>
        <v>11.5</v>
      </c>
      <c r="IN57" s="157">
        <f t="shared" si="138"/>
        <v>381.94071428571431</v>
      </c>
      <c r="IO57" s="157">
        <f t="shared" si="139"/>
        <v>672.6</v>
      </c>
      <c r="IP57" s="157">
        <f t="shared" si="42"/>
        <v>0</v>
      </c>
      <c r="IQ57" s="157">
        <f t="shared" si="43"/>
        <v>290.65928571428572</v>
      </c>
      <c r="IR57" s="157">
        <f t="shared" si="140"/>
        <v>837.9</v>
      </c>
      <c r="IS57" s="157">
        <f t="shared" si="141"/>
        <v>1390.0176827344694</v>
      </c>
      <c r="IT57" s="157">
        <f t="shared" si="142"/>
        <v>1128.5592857142856</v>
      </c>
      <c r="IU57" s="200">
        <f t="shared" si="143"/>
        <v>0.81190282665624947</v>
      </c>
      <c r="IV57" s="157">
        <f t="shared" si="144"/>
        <v>1128.5592857142856</v>
      </c>
      <c r="IW57" s="157">
        <f t="shared" si="145"/>
        <v>645.54794520547944</v>
      </c>
      <c r="IX57" s="162">
        <f t="shared" si="146"/>
        <v>645.54794520547978</v>
      </c>
      <c r="IY57" s="157">
        <f t="shared" si="22"/>
        <v>645.54794520547978</v>
      </c>
      <c r="IZ57" s="157">
        <f t="shared" si="147"/>
        <v>290.65928571428572</v>
      </c>
      <c r="JA57" s="207">
        <f t="shared" si="148"/>
        <v>258.21917808219189</v>
      </c>
      <c r="JB57" s="207">
        <f t="shared" si="149"/>
        <v>193.77285714285713</v>
      </c>
      <c r="JC57" s="157">
        <f t="shared" si="150"/>
        <v>193.77285714285713</v>
      </c>
      <c r="JD57" s="157">
        <f t="shared" si="151"/>
        <v>290.65928571428572</v>
      </c>
      <c r="JE57" s="157">
        <f t="shared" si="152"/>
        <v>484.43214285714282</v>
      </c>
      <c r="JF57" s="168">
        <f t="shared" si="153"/>
        <v>57.74431142857155</v>
      </c>
      <c r="JG57" s="168">
        <f t="shared" si="154"/>
        <v>86.616467142857331</v>
      </c>
      <c r="JH57" s="168">
        <f t="shared" si="155"/>
        <v>144.36077857142885</v>
      </c>
      <c r="JI57" s="157">
        <f t="shared" si="156"/>
        <v>161.11580234833696</v>
      </c>
      <c r="JJ57" s="168">
        <f t="shared" si="157"/>
        <v>0</v>
      </c>
      <c r="JK57" s="168">
        <f t="shared" si="158"/>
        <v>336.31066714285782</v>
      </c>
      <c r="JL57" s="168">
        <f t="shared" si="159"/>
        <v>192.37328767123338</v>
      </c>
      <c r="JM57" s="168">
        <f t="shared" si="160"/>
        <v>48.012509099804511</v>
      </c>
      <c r="JN57" s="168">
        <f t="shared" si="161"/>
        <v>642.50228767123428</v>
      </c>
      <c r="JO57" s="157">
        <f t="shared" si="162"/>
        <v>0</v>
      </c>
      <c r="JP57" s="168">
        <f t="shared" si="163"/>
        <v>86.616467142857331</v>
      </c>
      <c r="JR57" s="168">
        <f t="shared" si="164"/>
        <v>200.43480000000042</v>
      </c>
      <c r="JS57" s="168">
        <f t="shared" si="165"/>
        <v>86.616467142857331</v>
      </c>
      <c r="JT57" s="181"/>
      <c r="JW57" s="168">
        <f t="shared" ref="JW57:JX57" si="330">JW56</f>
        <v>2.5</v>
      </c>
      <c r="JX57" s="161">
        <f t="shared" si="330"/>
        <v>350</v>
      </c>
      <c r="JY57" s="161">
        <f t="shared" si="44"/>
        <v>525</v>
      </c>
      <c r="JZ57" s="161">
        <f t="shared" si="45"/>
        <v>875</v>
      </c>
      <c r="KA57" s="161">
        <v>298.00000000000063</v>
      </c>
      <c r="KB57" s="168">
        <f t="shared" si="166"/>
        <v>2.5</v>
      </c>
      <c r="KC57" s="161">
        <v>193.77285714285713</v>
      </c>
      <c r="KD57" s="161">
        <v>290.65928571428572</v>
      </c>
      <c r="KE57" s="161">
        <v>484.43214285714282</v>
      </c>
      <c r="KF57" s="168">
        <f t="shared" ref="KF57" si="331">KF56</f>
        <v>0.56785714285714284</v>
      </c>
      <c r="KG57" s="154">
        <f t="shared" si="167"/>
        <v>21</v>
      </c>
      <c r="KH57" s="154">
        <f t="shared" si="168"/>
        <v>11.5</v>
      </c>
      <c r="KI57" s="181">
        <f t="shared" si="169"/>
        <v>15.605357142857143</v>
      </c>
      <c r="KJ57" s="181">
        <f t="shared" si="170"/>
        <v>17.505357142857143</v>
      </c>
      <c r="KK57" s="181">
        <f t="shared" si="171"/>
        <v>11.5</v>
      </c>
      <c r="KL57" s="181">
        <f t="shared" si="172"/>
        <v>17.505357142857143</v>
      </c>
      <c r="KM57" s="181">
        <f t="shared" si="173"/>
        <v>17.505357142857143</v>
      </c>
      <c r="KN57" s="181">
        <f t="shared" si="253"/>
        <v>0</v>
      </c>
      <c r="KO57" s="181">
        <f t="shared" si="174"/>
        <v>11.5</v>
      </c>
      <c r="KP57" s="157">
        <f t="shared" si="175"/>
        <v>381.94071428571431</v>
      </c>
      <c r="KQ57" s="157">
        <f t="shared" si="46"/>
        <v>672.6</v>
      </c>
      <c r="KR57" s="157">
        <f t="shared" si="176"/>
        <v>0</v>
      </c>
      <c r="KS57" s="157">
        <f t="shared" si="177"/>
        <v>290.65928571428572</v>
      </c>
      <c r="KT57" s="157">
        <f t="shared" si="178"/>
        <v>837.9</v>
      </c>
      <c r="KU57" s="157">
        <f t="shared" si="179"/>
        <v>1390.0176827344694</v>
      </c>
      <c r="KV57" s="157">
        <f t="shared" si="180"/>
        <v>1128.5592857142856</v>
      </c>
      <c r="KW57" s="200">
        <f t="shared" si="181"/>
        <v>0.81190282665624947</v>
      </c>
      <c r="KX57" s="157">
        <f t="shared" si="182"/>
        <v>1128.5592857142856</v>
      </c>
      <c r="KY57" s="157">
        <f t="shared" si="183"/>
        <v>645.54794520547944</v>
      </c>
      <c r="KZ57" s="162">
        <f t="shared" si="47"/>
        <v>645.54794520547978</v>
      </c>
      <c r="LA57" s="157">
        <f t="shared" si="184"/>
        <v>645.54794520547978</v>
      </c>
      <c r="LB57" s="157">
        <f t="shared" si="185"/>
        <v>290.65928571428572</v>
      </c>
      <c r="LC57" s="207">
        <f t="shared" si="186"/>
        <v>258.21917808219189</v>
      </c>
      <c r="LD57" s="207">
        <f t="shared" si="187"/>
        <v>193.77285714285713</v>
      </c>
      <c r="LE57" s="157">
        <f t="shared" si="188"/>
        <v>193.77285714285713</v>
      </c>
      <c r="LF57" s="157">
        <f t="shared" si="189"/>
        <v>290.65928571428572</v>
      </c>
      <c r="LG57" s="157">
        <f t="shared" si="190"/>
        <v>484.43214285714282</v>
      </c>
      <c r="LH57" s="168">
        <f t="shared" si="191"/>
        <v>57.74431142857155</v>
      </c>
      <c r="LI57" s="168">
        <f t="shared" si="192"/>
        <v>86.616467142857331</v>
      </c>
      <c r="LJ57" s="168">
        <f t="shared" si="193"/>
        <v>144.36077857142885</v>
      </c>
      <c r="LK57" s="157">
        <f t="shared" si="194"/>
        <v>161.11580234833696</v>
      </c>
      <c r="LL57" s="168">
        <f t="shared" si="195"/>
        <v>0</v>
      </c>
      <c r="LM57" s="168">
        <f t="shared" si="196"/>
        <v>336.31066714285782</v>
      </c>
      <c r="LN57" s="168">
        <f t="shared" si="197"/>
        <v>192.37328767123338</v>
      </c>
      <c r="LO57" s="168">
        <f t="shared" si="198"/>
        <v>48.012509099804511</v>
      </c>
      <c r="LP57" s="168">
        <f t="shared" si="199"/>
        <v>642.50228767123428</v>
      </c>
      <c r="LQ57" s="157">
        <f t="shared" si="200"/>
        <v>0</v>
      </c>
      <c r="LR57" s="168">
        <f t="shared" si="201"/>
        <v>86.616467142857331</v>
      </c>
      <c r="LT57" s="168">
        <f t="shared" si="202"/>
        <v>200.43480000000042</v>
      </c>
      <c r="LU57" s="168">
        <f t="shared" si="203"/>
        <v>86.616467142857331</v>
      </c>
      <c r="LV57" s="181"/>
      <c r="LY57" s="168">
        <f t="shared" si="291"/>
        <v>2.5</v>
      </c>
      <c r="LZ57" s="161">
        <f t="shared" si="291"/>
        <v>350</v>
      </c>
      <c r="MA57" s="161">
        <f t="shared" si="48"/>
        <v>525</v>
      </c>
      <c r="MB57" s="161">
        <f t="shared" si="49"/>
        <v>875</v>
      </c>
      <c r="MC57" s="161">
        <v>298.00000000000063</v>
      </c>
      <c r="MD57" s="168">
        <f t="shared" si="204"/>
        <v>2.5</v>
      </c>
      <c r="ME57" s="161">
        <v>294.99069774019944</v>
      </c>
      <c r="MF57" s="161">
        <v>442.48604661029913</v>
      </c>
      <c r="MG57" s="161">
        <v>737.47674435049862</v>
      </c>
      <c r="MH57" s="168">
        <f t="shared" si="292"/>
        <v>0.56785714285714284</v>
      </c>
      <c r="MI57" s="154">
        <f t="shared" si="205"/>
        <v>21</v>
      </c>
      <c r="MJ57" s="181">
        <f t="shared" si="206"/>
        <v>14.750197081775436</v>
      </c>
      <c r="MK57" s="181">
        <f>MAX(MJ57-MH57*(MJ57-ML57),$MN$17)</f>
        <v>12.904549453195813</v>
      </c>
      <c r="ML57" s="154">
        <f t="shared" si="208"/>
        <v>11.5</v>
      </c>
      <c r="MM57" s="181">
        <f>MIN(ML57+$GA$14/$GA$15*(MJ57-MK57),$MO$17)</f>
        <v>13.554588869550901</v>
      </c>
      <c r="MN57" s="181">
        <f t="shared" si="210"/>
        <v>13.554588869550901</v>
      </c>
      <c r="MO57" s="181">
        <f t="shared" si="211"/>
        <v>15</v>
      </c>
      <c r="MP57" s="181">
        <f t="shared" si="212"/>
        <v>11.5</v>
      </c>
      <c r="MQ57" s="157">
        <f t="shared" si="50"/>
        <v>130.67185210343735</v>
      </c>
      <c r="MR57" s="157">
        <f t="shared" si="213"/>
        <v>672.6</v>
      </c>
      <c r="MS57" s="157">
        <f t="shared" si="214"/>
        <v>91.928147896562663</v>
      </c>
      <c r="MT57" s="157">
        <f t="shared" si="215"/>
        <v>450</v>
      </c>
      <c r="MU57" s="157">
        <f t="shared" si="216"/>
        <v>837.9</v>
      </c>
      <c r="MV57" s="157">
        <f t="shared" si="217"/>
        <v>1390.0176827344694</v>
      </c>
      <c r="MW57" s="157">
        <f t="shared" si="218"/>
        <v>1287.9000000000001</v>
      </c>
      <c r="MX57" s="200">
        <f t="shared" si="219"/>
        <v>0.9265349757755732</v>
      </c>
      <c r="MY57" s="157">
        <f t="shared" si="220"/>
        <v>1287.9000000000001</v>
      </c>
      <c r="MZ57" s="157">
        <f t="shared" si="221"/>
        <v>645.54794520547944</v>
      </c>
      <c r="NA57" s="162">
        <f t="shared" si="222"/>
        <v>737.47609310204223</v>
      </c>
      <c r="NB57" s="157">
        <f t="shared" si="223"/>
        <v>737.47609310204223</v>
      </c>
      <c r="NC57" s="157">
        <f t="shared" si="224"/>
        <v>525</v>
      </c>
      <c r="ND57" s="207">
        <f t="shared" si="51"/>
        <v>294.9904372408169</v>
      </c>
      <c r="NE57" s="207">
        <f t="shared" si="225"/>
        <v>350</v>
      </c>
      <c r="NF57" s="157">
        <f t="shared" si="226"/>
        <v>294.9904372408169</v>
      </c>
      <c r="NG57" s="157">
        <f t="shared" si="52"/>
        <v>442.48565586122538</v>
      </c>
      <c r="NH57" s="157">
        <f t="shared" si="53"/>
        <v>737.47609310204223</v>
      </c>
      <c r="NI57" s="168">
        <f t="shared" si="227"/>
        <v>87.907150297763621</v>
      </c>
      <c r="NJ57" s="168">
        <f t="shared" si="228"/>
        <v>131.86072544664546</v>
      </c>
      <c r="NK57" s="168">
        <f t="shared" si="229"/>
        <v>219.76787574440903</v>
      </c>
      <c r="NL57" s="157">
        <f t="shared" si="230"/>
        <v>0</v>
      </c>
      <c r="NM57" s="168">
        <f t="shared" si="231"/>
        <v>27.394588073175729</v>
      </c>
      <c r="NN57" s="168">
        <f t="shared" si="232"/>
        <v>383.79420000000084</v>
      </c>
      <c r="NO57" s="168">
        <f t="shared" si="233"/>
        <v>219.76787574440903</v>
      </c>
      <c r="NP57" s="168">
        <f t="shared" si="234"/>
        <v>0</v>
      </c>
      <c r="NQ57" s="168">
        <f t="shared" si="235"/>
        <v>642.50228767123428</v>
      </c>
      <c r="NR57" s="157">
        <f t="shared" si="236"/>
        <v>91.928147896562621</v>
      </c>
      <c r="NS57" s="168">
        <f t="shared" si="237"/>
        <v>131.86072544664546</v>
      </c>
      <c r="NT57" s="157">
        <f t="shared" si="319"/>
        <v>2156.0479452054797</v>
      </c>
      <c r="NU57" s="168">
        <f t="shared" si="239"/>
        <v>200.43480000000042</v>
      </c>
      <c r="NV57" s="168">
        <f t="shared" si="240"/>
        <v>161.494588073176</v>
      </c>
      <c r="NW57" s="181"/>
      <c r="NX57" s="157"/>
      <c r="NY57" s="157"/>
      <c r="NZ57" s="157"/>
      <c r="OA57" s="157"/>
      <c r="OB57" s="157"/>
    </row>
    <row r="58" spans="1:392" ht="13" x14ac:dyDescent="0.3">
      <c r="A58" s="154">
        <v>75.525114155251146</v>
      </c>
      <c r="B58" s="154">
        <v>12.5</v>
      </c>
      <c r="C58" s="154">
        <f t="shared" si="320"/>
        <v>12.5</v>
      </c>
      <c r="D58" s="154">
        <v>38216.000000000015</v>
      </c>
      <c r="E58" s="200">
        <f t="shared" ref="E58:E74" si="332">D58/((A58-A57)/100*8760)</f>
        <v>131.3264604810995</v>
      </c>
      <c r="F58" s="181">
        <f t="shared" ref="F58:F74" si="333">$F$21*(J58-B58)</f>
        <v>749.7</v>
      </c>
      <c r="G58" s="161">
        <f t="shared" ref="G58:G74" si="334">(A58-A57)/100*8760</f>
        <v>291.00000000000045</v>
      </c>
      <c r="H58" s="154">
        <f t="shared" si="55"/>
        <v>0.74970000000000003</v>
      </c>
      <c r="I58" s="161">
        <f t="shared" si="56"/>
        <v>2473.5000000000036</v>
      </c>
      <c r="J58" s="181">
        <f t="shared" si="57"/>
        <v>21</v>
      </c>
      <c r="K58" s="181">
        <f t="shared" si="58"/>
        <v>15.050927609848664</v>
      </c>
      <c r="L58" s="181">
        <f t="shared" si="59"/>
        <v>13.602365145684601</v>
      </c>
      <c r="M58" s="181">
        <f t="shared" si="60"/>
        <v>12.5</v>
      </c>
      <c r="N58" s="181">
        <f t="shared" si="61"/>
        <v>14.112550667654334</v>
      </c>
      <c r="O58" s="181">
        <f t="shared" si="62"/>
        <v>14.112550667654334</v>
      </c>
      <c r="P58" s="181">
        <f t="shared" si="63"/>
        <v>15</v>
      </c>
      <c r="Q58" s="181">
        <f t="shared" si="64"/>
        <v>18.527580370438383</v>
      </c>
      <c r="R58" s="168">
        <f t="shared" si="65"/>
        <v>204.27900931811541</v>
      </c>
      <c r="S58" s="161">
        <f t="shared" si="66"/>
        <v>234.1234520547948</v>
      </c>
      <c r="T58" s="161">
        <f t="shared" si="67"/>
        <v>43.90012492461446</v>
      </c>
      <c r="U58" s="161">
        <f t="shared" si="68"/>
        <v>25.150124924614452</v>
      </c>
      <c r="V58" s="154">
        <f t="shared" si="69"/>
        <v>5.6441777537184344E-2</v>
      </c>
      <c r="W58" s="154">
        <f t="shared" si="70"/>
        <v>0</v>
      </c>
      <c r="X58" s="154">
        <f t="shared" si="71"/>
        <v>0.80454794520547912</v>
      </c>
      <c r="Y58" s="154">
        <f t="shared" si="72"/>
        <v>1.9970479452054795</v>
      </c>
      <c r="Z58" s="154">
        <f t="shared" si="321"/>
        <v>0.6018</v>
      </c>
      <c r="AA58" s="154">
        <f t="shared" si="322"/>
        <v>1.1925000000000003</v>
      </c>
      <c r="AB58" s="154">
        <f t="shared" si="323"/>
        <v>0.70198972274266358</v>
      </c>
      <c r="AC58" s="154">
        <f t="shared" si="324"/>
        <v>0.64554794520547942</v>
      </c>
      <c r="AD58" s="154">
        <f t="shared" si="325"/>
        <v>0.28079588909706549</v>
      </c>
      <c r="AE58" s="154">
        <f t="shared" si="326"/>
        <v>0.4211938336455982</v>
      </c>
      <c r="AF58" s="154">
        <f t="shared" si="327"/>
        <v>0.70198972274266358</v>
      </c>
      <c r="AG58" s="154">
        <f t="shared" si="75"/>
        <v>0.10255822246281564</v>
      </c>
      <c r="AH58" s="154">
        <f t="shared" si="76"/>
        <v>0.80454794520547923</v>
      </c>
      <c r="AI58" s="154">
        <f t="shared" si="77"/>
        <v>0.58732876712328763</v>
      </c>
      <c r="AJ58" s="154">
        <f t="shared" si="78"/>
        <v>5.8219178082191785E-2</v>
      </c>
      <c r="AK58" s="154">
        <f t="shared" si="79"/>
        <v>0</v>
      </c>
      <c r="AL58" s="161">
        <f t="shared" si="80"/>
        <v>587.32876712328766</v>
      </c>
      <c r="AM58" s="161">
        <f t="shared" si="81"/>
        <v>58.219178082191782</v>
      </c>
      <c r="AN58" s="161">
        <f t="shared" si="82"/>
        <v>0</v>
      </c>
      <c r="AO58" s="161"/>
      <c r="AP58" s="154">
        <f t="shared" si="83"/>
        <v>0.64554794520547942</v>
      </c>
      <c r="AQ58" s="154">
        <f t="shared" si="84"/>
        <v>0.64554794520547942</v>
      </c>
      <c r="AR58" s="154">
        <f t="shared" si="85"/>
        <v>0.86098972274266361</v>
      </c>
      <c r="AS58" s="161"/>
      <c r="AT58" s="161"/>
      <c r="AU58" s="161"/>
      <c r="AV58" s="161"/>
      <c r="AW58" s="181"/>
      <c r="AX58" s="181"/>
      <c r="AY58" s="181"/>
      <c r="AZ58" s="181"/>
      <c r="BA58" s="181"/>
      <c r="BB58" s="161"/>
      <c r="BC58" s="161"/>
      <c r="BD58" s="161"/>
      <c r="BE58" s="181"/>
      <c r="BF58" s="168"/>
      <c r="BG58" s="181"/>
      <c r="BH58" s="168"/>
      <c r="BI58" s="168"/>
      <c r="BJ58" s="161"/>
      <c r="BK58" s="168"/>
      <c r="BL58" s="168"/>
      <c r="BM58" s="168"/>
      <c r="BN58" s="168"/>
      <c r="BO58" s="168">
        <f t="shared" ref="BO58:BO74" si="335">AL58/1000*$G58</f>
        <v>170.91267123287696</v>
      </c>
      <c r="BP58" s="168">
        <f t="shared" ref="BP58:BP74" si="336">AM58/1000*$G58</f>
        <v>16.941780821917835</v>
      </c>
      <c r="BQ58" s="168">
        <f t="shared" ref="BQ58:BQ74" si="337">AN58/1000*$G58</f>
        <v>0</v>
      </c>
      <c r="BR58" s="181"/>
      <c r="BS58" s="161"/>
      <c r="BT58" s="168"/>
      <c r="BU58" s="161"/>
      <c r="BV58" s="161"/>
      <c r="BW58" s="161"/>
      <c r="BX58" s="161"/>
      <c r="CB58" s="181">
        <f t="shared" si="89"/>
        <v>120.42656115241331</v>
      </c>
      <c r="CC58" s="181">
        <f t="shared" si="89"/>
        <v>0</v>
      </c>
      <c r="CD58" s="181">
        <f t="shared" si="89"/>
        <v>140.75607443700812</v>
      </c>
      <c r="CE58" s="181">
        <f t="shared" si="89"/>
        <v>0</v>
      </c>
      <c r="CF58" s="181">
        <f t="shared" si="89"/>
        <v>468.215256495463</v>
      </c>
      <c r="CG58" s="181">
        <f t="shared" si="89"/>
        <v>0</v>
      </c>
      <c r="CH58" s="181">
        <f t="shared" si="89"/>
        <v>140.94006930555327</v>
      </c>
      <c r="CI58" s="181">
        <f t="shared" si="89"/>
        <v>0</v>
      </c>
      <c r="CJ58" s="182">
        <f t="shared" ref="CJ58:CJ74" si="338">SUM(CB58:CI58)</f>
        <v>870.33796139043773</v>
      </c>
      <c r="CK58" s="161">
        <f t="shared" ref="CK58:CK74" si="339">CJ58*24/(MAX($CB$12,10))</f>
        <v>870.33796139043773</v>
      </c>
      <c r="CL58" s="161">
        <f t="shared" si="243"/>
        <v>529.19999999999993</v>
      </c>
      <c r="CM58" s="182">
        <f t="shared" ref="CM58:CM74" si="340">CK58+CL58</f>
        <v>1399.5379613904377</v>
      </c>
      <c r="CN58" s="157">
        <f t="shared" ref="CN58:CN74" si="341">CJ58*G58/1000</f>
        <v>253.26834676461777</v>
      </c>
      <c r="CO58" s="162">
        <f t="shared" ref="CO58:CO74" si="342">CM58</f>
        <v>1399.5379613904377</v>
      </c>
      <c r="FT58" s="168">
        <f t="shared" si="244"/>
        <v>2.5</v>
      </c>
      <c r="FU58" s="161">
        <f t="shared" si="245"/>
        <v>350</v>
      </c>
      <c r="FV58" s="161">
        <f t="shared" ref="FV58:FV74" si="343">FU58*(FT58-1+1E-50)</f>
        <v>525</v>
      </c>
      <c r="FW58" s="161">
        <f t="shared" ref="FW58:FW74" si="344">FT58*FU58</f>
        <v>875</v>
      </c>
      <c r="FX58" s="161">
        <v>299.00000000000102</v>
      </c>
      <c r="FY58" s="168">
        <f t="shared" ref="FY58:FY74" si="345">FT58</f>
        <v>2.5</v>
      </c>
      <c r="FZ58" s="161">
        <v>258.21917808310957</v>
      </c>
      <c r="GA58" s="161">
        <v>387.32876712466435</v>
      </c>
      <c r="GB58" s="161">
        <v>645.54794520777386</v>
      </c>
      <c r="GC58" s="168">
        <f t="shared" si="246"/>
        <v>0.56785714285714284</v>
      </c>
      <c r="GD58" s="154">
        <f t="shared" si="97"/>
        <v>21</v>
      </c>
      <c r="GE58" s="181">
        <f t="shared" ref="GE58:GE74" si="346">MAX(GD58-GA58/(1.2*$GA$14),GK58)</f>
        <v>15.529254701629036</v>
      </c>
      <c r="GF58" s="181">
        <f t="shared" ref="GF58:GF74" si="347">MAX(GE58-GC58*(GE58-GG58),$GI$17)</f>
        <v>13.809070781775405</v>
      </c>
      <c r="GG58" s="154">
        <f t="shared" si="99"/>
        <v>12.5</v>
      </c>
      <c r="GH58" s="181">
        <f t="shared" ref="GH58:GH74" si="348">MIN(GG58+$GA$14/$GA$15*(GE58-GF58),$GJ$17)</f>
        <v>14.41492172210121</v>
      </c>
      <c r="GI58" s="181">
        <f t="shared" ref="GI58:GI74" si="349">GH58+GB58/(1.2*$GA$15)</f>
        <v>24.565046646751746</v>
      </c>
      <c r="GJ58" s="181">
        <f t="shared" si="102"/>
        <v>24.565046646751746</v>
      </c>
      <c r="GK58" s="181">
        <f t="shared" si="103"/>
        <v>12.5</v>
      </c>
      <c r="GL58" s="157">
        <f t="shared" ref="GL58:GL74" si="350">1.2*$GA$14*(GE58-GF58)</f>
        <v>121.78902152563701</v>
      </c>
      <c r="GM58" s="157">
        <f t="shared" si="105"/>
        <v>601.79999999999995</v>
      </c>
      <c r="GN58" s="157">
        <f t="shared" si="106"/>
        <v>0</v>
      </c>
      <c r="GO58" s="157">
        <f t="shared" si="107"/>
        <v>480.01097847436296</v>
      </c>
      <c r="GP58" s="157">
        <f t="shared" si="108"/>
        <v>749.7</v>
      </c>
      <c r="GQ58" s="157">
        <f t="shared" si="109"/>
        <v>1399.5379613904377</v>
      </c>
      <c r="GR58" s="157">
        <f t="shared" ref="GR58:GR74" si="351">GP58+GO58</f>
        <v>1229.7109784743629</v>
      </c>
      <c r="GS58" s="200">
        <f t="shared" ref="GS58:GS74" si="352">MIN(1/(GQ58/(GR58+1E-50)+1E-50),1)</f>
        <v>0.87865496499476725</v>
      </c>
      <c r="GT58" s="157">
        <f t="shared" ref="GT58:GT74" si="353">GS58*GQ58</f>
        <v>1229.7109784743629</v>
      </c>
      <c r="GU58" s="157">
        <f t="shared" ref="GU58:GU74" si="354">($AN$21=1)*AN58+($AL$21=1)*AL58+($AM$21=1)*AM58</f>
        <v>645.54794520547944</v>
      </c>
      <c r="GV58" s="162">
        <f t="shared" si="114"/>
        <v>645.54794520547944</v>
      </c>
      <c r="GW58" s="157">
        <f t="shared" ref="GW58:GW74" si="355">MIN(FW58,GV58)</f>
        <v>645.54794520547944</v>
      </c>
      <c r="GX58" s="157">
        <f t="shared" si="247"/>
        <v>525</v>
      </c>
      <c r="GY58" s="207">
        <f t="shared" ref="GY58:GY74" si="356">GW58/FY58</f>
        <v>258.21917808219177</v>
      </c>
      <c r="GZ58" s="207">
        <f t="shared" si="116"/>
        <v>350</v>
      </c>
      <c r="HA58" s="157">
        <f t="shared" si="117"/>
        <v>258.21917808228352</v>
      </c>
      <c r="HB58" s="157">
        <f t="shared" ref="HB58:HB74" si="357">HA58*(FY58-1)</f>
        <v>387.32876712342528</v>
      </c>
      <c r="HC58" s="157">
        <f t="shared" ref="HC58:HC74" si="358">HA58*FY58</f>
        <v>645.54794520570886</v>
      </c>
      <c r="HD58" s="168">
        <f t="shared" ref="HD58:HD74" si="359">HA58/1000*$FX58</f>
        <v>77.207534246603032</v>
      </c>
      <c r="HE58" s="168">
        <f t="shared" ref="HE58:HE74" si="360">HB58/1000*$FX58</f>
        <v>115.81130136990456</v>
      </c>
      <c r="HF58" s="168">
        <f t="shared" ref="HF58:HF74" si="361">HC58/1000*$FX58</f>
        <v>193.01883561650763</v>
      </c>
      <c r="HG58" s="157">
        <f t="shared" si="119"/>
        <v>-2.2942003852222115E-10</v>
      </c>
      <c r="HH58" s="168">
        <f t="shared" ref="HH58:HH74" si="362">GN58/1000*$FX58</f>
        <v>0</v>
      </c>
      <c r="HI58" s="168">
        <f t="shared" ref="HI58:HI74" si="363">GT58/1000*$FX58</f>
        <v>367.68358256383578</v>
      </c>
      <c r="HJ58" s="168">
        <f t="shared" ref="HJ58:HJ74" si="364">GV58/1000*$FX58</f>
        <v>193.01883561643902</v>
      </c>
      <c r="HK58" s="168">
        <f t="shared" si="123"/>
        <v>0</v>
      </c>
      <c r="HL58" s="168">
        <f t="shared" si="124"/>
        <v>597.11733561644041</v>
      </c>
      <c r="HM58" s="157">
        <f t="shared" si="125"/>
        <v>645.54794520777398</v>
      </c>
      <c r="HN58" s="168">
        <f t="shared" ref="HN58:HN74" si="365">HB58/1000*$FX58</f>
        <v>115.81130136990456</v>
      </c>
      <c r="HP58" s="168">
        <f t="shared" ref="HP58:HP74" si="366">GM58/1000*$FX58</f>
        <v>179.93820000000062</v>
      </c>
      <c r="HQ58" s="168">
        <f t="shared" ref="HQ58:HQ74" si="367">(GM58-GL58)/1000*$FX58</f>
        <v>143.52328256383501</v>
      </c>
      <c r="HR58" s="181"/>
      <c r="HU58" s="168">
        <f t="shared" ref="HU58:HV58" si="368">HU57</f>
        <v>2.5</v>
      </c>
      <c r="HV58" s="161">
        <f t="shared" si="368"/>
        <v>350</v>
      </c>
      <c r="HW58" s="161">
        <f t="shared" ref="HW58:HW74" si="369">HV58*(HU58-1+1E-50)</f>
        <v>525</v>
      </c>
      <c r="HX58" s="161">
        <f t="shared" ref="HX58:HX74" si="370">HU58*HV58</f>
        <v>875</v>
      </c>
      <c r="HY58" s="161">
        <v>299.00000000000102</v>
      </c>
      <c r="HZ58" s="168">
        <f t="shared" ref="HZ58:HZ74" si="371">HU58</f>
        <v>2.5</v>
      </c>
      <c r="IA58" s="161">
        <v>173.37571428571437</v>
      </c>
      <c r="IB58" s="161">
        <v>260.06357142857155</v>
      </c>
      <c r="IC58" s="161">
        <v>433.43928571428592</v>
      </c>
      <c r="ID58" s="168">
        <f t="shared" ref="ID58" si="372">ID57</f>
        <v>0.56785714285714284</v>
      </c>
      <c r="IE58" s="154">
        <f t="shared" si="130"/>
        <v>21</v>
      </c>
      <c r="IF58" s="154">
        <f t="shared" si="131"/>
        <v>12.5</v>
      </c>
      <c r="IG58" s="181">
        <f t="shared" ref="IG58:IG74" si="373">MAX(IE58-ID58*(IE58-IF58),IL58)</f>
        <v>16.173214285714288</v>
      </c>
      <c r="IH58" s="181">
        <f t="shared" ref="IH58:IH74" si="374">IF58+$GA$14/$GA$15*(IE58-IG58)</f>
        <v>17.873214285714283</v>
      </c>
      <c r="II58" s="181">
        <f t="shared" ref="II58:II74" si="375">MAX(IG58-IA58*(HZ58-1)/(1.2*$GA$14),IM58)</f>
        <v>12.5</v>
      </c>
      <c r="IJ58" s="181">
        <f t="shared" ref="IJ58:IJ74" si="376">IH58+HZ58*IA58/(1.2*$GA$15)</f>
        <v>24.688297394429469</v>
      </c>
      <c r="IK58" s="181">
        <f t="shared" ref="IK58:IK74" si="377">MAX(IJ58,$IM$17)</f>
        <v>24.688297394429469</v>
      </c>
      <c r="IL58" s="181">
        <f t="shared" si="250"/>
        <v>0</v>
      </c>
      <c r="IM58" s="181">
        <f t="shared" si="137"/>
        <v>12.5</v>
      </c>
      <c r="IN58" s="157">
        <f t="shared" ref="IN58:IN74" si="378">1.2*$GA$14*(IE58-IG58)</f>
        <v>341.73642857142841</v>
      </c>
      <c r="IO58" s="157">
        <f t="shared" si="139"/>
        <v>601.79999999999995</v>
      </c>
      <c r="IP58" s="157">
        <f t="shared" si="42"/>
        <v>0</v>
      </c>
      <c r="IQ58" s="157">
        <f t="shared" si="43"/>
        <v>260.06357142857155</v>
      </c>
      <c r="IR58" s="157">
        <f t="shared" si="140"/>
        <v>749.7</v>
      </c>
      <c r="IS58" s="157">
        <f t="shared" si="141"/>
        <v>1399.5379613904377</v>
      </c>
      <c r="IT58" s="157">
        <f t="shared" ref="IT58:IT74" si="379">IR58+IQ58</f>
        <v>1009.7635714285716</v>
      </c>
      <c r="IU58" s="200">
        <f t="shared" ref="IU58:IU74" si="380">MIN(1/(IS58/(IT58+1E-50)+1E-50),1)</f>
        <v>0.72149780805186148</v>
      </c>
      <c r="IV58" s="157">
        <f t="shared" ref="IV58:IV74" si="381">IU58*IS58</f>
        <v>1009.7635714285715</v>
      </c>
      <c r="IW58" s="157">
        <f t="shared" ref="IW58:IW74" si="382">($AN$21=1)*AN58+($AL$21=1)*AL58+($AM$21=1)*AM58</f>
        <v>645.54794520547944</v>
      </c>
      <c r="IX58" s="162">
        <f t="shared" si="146"/>
        <v>645.54794520547955</v>
      </c>
      <c r="IY58" s="157">
        <f t="shared" si="22"/>
        <v>645.54794520547955</v>
      </c>
      <c r="IZ58" s="157">
        <f t="shared" si="147"/>
        <v>260.06357142857155</v>
      </c>
      <c r="JA58" s="207">
        <f t="shared" ref="JA58:JA74" si="383">IY58/HZ58</f>
        <v>258.21917808219183</v>
      </c>
      <c r="JB58" s="207">
        <f t="shared" si="149"/>
        <v>173.37571428571437</v>
      </c>
      <c r="JC58" s="157">
        <f t="shared" si="150"/>
        <v>173.37571428571437</v>
      </c>
      <c r="JD58" s="157">
        <f t="shared" ref="JD58:JD74" si="384">JC58*(HZ58-1)</f>
        <v>260.06357142857155</v>
      </c>
      <c r="JE58" s="157">
        <f t="shared" ref="JE58:JE74" si="385">JC58*HZ58</f>
        <v>433.43928571428592</v>
      </c>
      <c r="JF58" s="168">
        <f t="shared" ref="JF58:JF74" si="386">JC58/1000*$HY58</f>
        <v>51.839338571428769</v>
      </c>
      <c r="JG58" s="168">
        <f t="shared" ref="JG58:JG74" si="387">JD58/1000*$HY58</f>
        <v>77.75900785714316</v>
      </c>
      <c r="JH58" s="168">
        <f t="shared" ref="JH58:JH74" si="388">JE58/1000*$HY58</f>
        <v>129.59834642857194</v>
      </c>
      <c r="JI58" s="157">
        <f t="shared" si="156"/>
        <v>212.10865949119363</v>
      </c>
      <c r="JJ58" s="168">
        <f t="shared" ref="JJ58:JJ74" si="389">IP58/1000*$HY58</f>
        <v>0</v>
      </c>
      <c r="JK58" s="168">
        <f t="shared" ref="JK58:JK74" si="390">IV58/1000*$HY58</f>
        <v>301.91930785714391</v>
      </c>
      <c r="JL58" s="168">
        <f t="shared" ref="JL58:JL74" si="391">IX58/1000*$HY58</f>
        <v>193.01883561643905</v>
      </c>
      <c r="JM58" s="168">
        <f t="shared" si="160"/>
        <v>63.420489187867119</v>
      </c>
      <c r="JN58" s="168">
        <f t="shared" si="161"/>
        <v>597.11733561644041</v>
      </c>
      <c r="JO58" s="157">
        <f t="shared" si="162"/>
        <v>0</v>
      </c>
      <c r="JP58" s="168">
        <f t="shared" ref="JP58:JP74" si="392">JD58/1000*$HY58</f>
        <v>77.75900785714316</v>
      </c>
      <c r="JR58" s="168">
        <f t="shared" ref="JR58:JR74" si="393">IO58/1000*$HY58</f>
        <v>179.93820000000062</v>
      </c>
      <c r="JS58" s="168">
        <f t="shared" ref="JS58:JS74" si="394">(IO58-IN58)/1000*$HY58</f>
        <v>77.75900785714316</v>
      </c>
      <c r="JT58" s="181"/>
      <c r="JW58" s="168">
        <f t="shared" ref="JW58:JX58" si="395">JW57</f>
        <v>2.5</v>
      </c>
      <c r="JX58" s="161">
        <f t="shared" si="395"/>
        <v>350</v>
      </c>
      <c r="JY58" s="161">
        <f t="shared" ref="JY58:JY74" si="396">JX58*(JW58-1+1E-50)</f>
        <v>525</v>
      </c>
      <c r="JZ58" s="161">
        <f t="shared" ref="JZ58:JZ74" si="397">JW58*JX58</f>
        <v>875</v>
      </c>
      <c r="KA58" s="161">
        <v>299.00000000000102</v>
      </c>
      <c r="KB58" s="168">
        <f t="shared" ref="KB58:KB74" si="398">JW58</f>
        <v>2.5</v>
      </c>
      <c r="KC58" s="161">
        <v>173.37571428571437</v>
      </c>
      <c r="KD58" s="161">
        <v>260.06357142857155</v>
      </c>
      <c r="KE58" s="161">
        <v>433.43928571428592</v>
      </c>
      <c r="KF58" s="168">
        <f t="shared" ref="KF58" si="399">KF57</f>
        <v>0.56785714285714284</v>
      </c>
      <c r="KG58" s="154">
        <f t="shared" si="167"/>
        <v>21</v>
      </c>
      <c r="KH58" s="154">
        <f t="shared" si="168"/>
        <v>12.5</v>
      </c>
      <c r="KI58" s="181">
        <f t="shared" ref="KI58:KI74" si="400">MAX(KG58-KF58*(KG58-KH58),KN58)</f>
        <v>16.173214285714288</v>
      </c>
      <c r="KJ58" s="181">
        <f t="shared" ref="KJ58:KJ74" si="401">KH58+$GA$14/$GA$15*(KG58-KI58)</f>
        <v>17.873214285714283</v>
      </c>
      <c r="KK58" s="181">
        <f t="shared" ref="KK58:KK74" si="402">MAX(KI58-KC58*(KB58-1)/(1.2*$GA$14),KO58)</f>
        <v>12.5</v>
      </c>
      <c r="KL58" s="181">
        <f t="shared" ref="KL58:KL74" si="403">KJ58+0*(KJ58+KB58*KC58/(1.2*$GA$15))</f>
        <v>17.873214285714283</v>
      </c>
      <c r="KM58" s="181">
        <f t="shared" ref="KM58:KM74" si="404">MAX(KL58,$IM$17)</f>
        <v>17.873214285714283</v>
      </c>
      <c r="KN58" s="181">
        <f t="shared" si="253"/>
        <v>0</v>
      </c>
      <c r="KO58" s="181">
        <f t="shared" si="174"/>
        <v>12.5</v>
      </c>
      <c r="KP58" s="157">
        <f t="shared" ref="KP58:KP74" si="405">1.2*$GA$14*(KG58-KI58)</f>
        <v>341.73642857142841</v>
      </c>
      <c r="KQ58" s="157">
        <f t="shared" si="46"/>
        <v>601.79999999999995</v>
      </c>
      <c r="KR58" s="157">
        <f t="shared" ref="KR58:KR74" si="406">1.2*$GA$15*(KM58-KL58)</f>
        <v>0</v>
      </c>
      <c r="KS58" s="157">
        <f t="shared" ref="KS58:KS74" si="407">KQ58-KP58-KR58</f>
        <v>260.06357142857155</v>
      </c>
      <c r="KT58" s="157">
        <f t="shared" si="178"/>
        <v>749.7</v>
      </c>
      <c r="KU58" s="157">
        <f t="shared" si="179"/>
        <v>1399.5379613904377</v>
      </c>
      <c r="KV58" s="157">
        <f t="shared" ref="KV58:KV74" si="408">KT58+KS58</f>
        <v>1009.7635714285716</v>
      </c>
      <c r="KW58" s="200">
        <f t="shared" ref="KW58:KW74" si="409">MIN(1/(KU58/(KV58+1E-50)+1E-50),1)</f>
        <v>0.72149780805186148</v>
      </c>
      <c r="KX58" s="157">
        <f t="shared" ref="KX58:KX74" si="410">KW58*KU58</f>
        <v>1009.7635714285715</v>
      </c>
      <c r="KY58" s="157">
        <f t="shared" ref="KY58:KY74" si="411">($AN$21=1)*AN58+($AL$21=1)*AL58+($AM$21=1)*AM58</f>
        <v>645.54794520547944</v>
      </c>
      <c r="KZ58" s="162">
        <f t="shared" si="47"/>
        <v>645.54794520547955</v>
      </c>
      <c r="LA58" s="157">
        <f t="shared" si="184"/>
        <v>645.54794520547955</v>
      </c>
      <c r="LB58" s="157">
        <f t="shared" si="185"/>
        <v>260.06357142857155</v>
      </c>
      <c r="LC58" s="207">
        <f t="shared" ref="LC58:LC74" si="412">LA58/KB58</f>
        <v>258.21917808219183</v>
      </c>
      <c r="LD58" s="207">
        <f t="shared" si="187"/>
        <v>173.37571428571437</v>
      </c>
      <c r="LE58" s="157">
        <f t="shared" si="188"/>
        <v>173.37571428571437</v>
      </c>
      <c r="LF58" s="157">
        <f t="shared" ref="LF58:LF74" si="413">LE58*(KB58-1)</f>
        <v>260.06357142857155</v>
      </c>
      <c r="LG58" s="157">
        <f t="shared" ref="LG58:LG74" si="414">LE58*KB58</f>
        <v>433.43928571428592</v>
      </c>
      <c r="LH58" s="168">
        <f t="shared" ref="LH58:LH74" si="415">LE58/1000*$KA58</f>
        <v>51.839338571428769</v>
      </c>
      <c r="LI58" s="168">
        <f t="shared" ref="LI58:LI74" si="416">LF58/1000*$KA58</f>
        <v>77.75900785714316</v>
      </c>
      <c r="LJ58" s="168">
        <f t="shared" ref="LJ58:LJ74" si="417">LG58/1000*$KA58</f>
        <v>129.59834642857194</v>
      </c>
      <c r="LK58" s="157">
        <f t="shared" si="194"/>
        <v>212.10865949119363</v>
      </c>
      <c r="LL58" s="168">
        <f t="shared" ref="LL58:LL74" si="418">KR58/1000*$KA58</f>
        <v>0</v>
      </c>
      <c r="LM58" s="168">
        <f t="shared" ref="LM58:LM74" si="419">KX58/1000*$KA58</f>
        <v>301.91930785714391</v>
      </c>
      <c r="LN58" s="168">
        <f t="shared" ref="LN58:LN74" si="420">KZ58/1000*$KA58</f>
        <v>193.01883561643905</v>
      </c>
      <c r="LO58" s="168">
        <f t="shared" si="198"/>
        <v>63.420489187867119</v>
      </c>
      <c r="LP58" s="168">
        <f t="shared" si="199"/>
        <v>597.11733561644041</v>
      </c>
      <c r="LQ58" s="157">
        <f t="shared" si="200"/>
        <v>0</v>
      </c>
      <c r="LR58" s="168">
        <f t="shared" ref="LR58:LR74" si="421">LF58/1000*$KA58</f>
        <v>77.75900785714316</v>
      </c>
      <c r="LT58" s="168">
        <f t="shared" ref="LT58:LT74" si="422">KQ58/1000*$KA58</f>
        <v>179.93820000000062</v>
      </c>
      <c r="LU58" s="168">
        <f t="shared" ref="LU58:LU74" si="423">(KQ58-KP58)/1000*$KA58</f>
        <v>77.75900785714316</v>
      </c>
      <c r="LV58" s="181"/>
      <c r="LY58" s="168">
        <f t="shared" ref="LY58:LZ58" si="424">LY57</f>
        <v>2.5</v>
      </c>
      <c r="LZ58" s="161">
        <f t="shared" si="424"/>
        <v>350</v>
      </c>
      <c r="MA58" s="161">
        <f t="shared" ref="MA58:MA74" si="425">LZ58*(LY58-1+1E-50)</f>
        <v>525</v>
      </c>
      <c r="MB58" s="161">
        <f t="shared" ref="MB58:MB74" si="426">LY58*LZ58</f>
        <v>875</v>
      </c>
      <c r="MC58" s="161">
        <v>299.00000000000102</v>
      </c>
      <c r="MD58" s="168">
        <f t="shared" ref="MD58:MD74" si="427">LY58</f>
        <v>2.5</v>
      </c>
      <c r="ME58" s="161">
        <v>280.796216815143</v>
      </c>
      <c r="MF58" s="161">
        <v>421.1943252227145</v>
      </c>
      <c r="MG58" s="161">
        <v>701.99054203785749</v>
      </c>
      <c r="MH58" s="168">
        <f t="shared" ref="MH58" si="428">MH57</f>
        <v>0.56785714285714284</v>
      </c>
      <c r="MI58" s="154">
        <f t="shared" si="205"/>
        <v>21</v>
      </c>
      <c r="MJ58" s="181">
        <f t="shared" ref="MJ58:MJ74" si="429">MAX(MI58-MF58/(1.2*$GA$14),MP58)</f>
        <v>15.050927609848664</v>
      </c>
      <c r="MK58" s="181">
        <f t="shared" ref="MK58:MK74" si="430">MAX(MJ58-MH58*(MJ58-ML58),$MN$17)</f>
        <v>13.602365145684601</v>
      </c>
      <c r="ML58" s="154">
        <f t="shared" si="208"/>
        <v>12.5</v>
      </c>
      <c r="MM58" s="181">
        <f t="shared" ref="MM58:MM74" si="431">MIN(ML58+$GA$14/$GA$15*(MJ58-MK58),$MO$17)</f>
        <v>14.112550667654334</v>
      </c>
      <c r="MN58" s="181">
        <f t="shared" ref="MN58:MN74" si="432">MM58+0*(MM58+MG58/(1.2*$GA$15))</f>
        <v>14.112550667654334</v>
      </c>
      <c r="MO58" s="181">
        <f t="shared" ref="MO58:MO74" si="433">MAX(MN58,$MQ$17)</f>
        <v>15</v>
      </c>
      <c r="MP58" s="181">
        <f t="shared" si="212"/>
        <v>12.5</v>
      </c>
      <c r="MQ58" s="157">
        <f t="shared" ref="MQ58:MQ74" si="434">1.2*$GA$14*(MJ58-MK58)</f>
        <v>102.55822246281564</v>
      </c>
      <c r="MR58" s="157">
        <f t="shared" si="213"/>
        <v>601.79999999999995</v>
      </c>
      <c r="MS58" s="157">
        <f t="shared" ref="MS58:MS74" si="435">1.2*$GA$15*(MO58-MN58)</f>
        <v>56.441777537184343</v>
      </c>
      <c r="MT58" s="157">
        <f t="shared" ref="MT58:MT74" si="436">MR58-MQ58-MS58</f>
        <v>442.79999999999995</v>
      </c>
      <c r="MU58" s="157">
        <f t="shared" si="216"/>
        <v>749.7</v>
      </c>
      <c r="MV58" s="157">
        <f t="shared" si="217"/>
        <v>1399.5379613904377</v>
      </c>
      <c r="MW58" s="157">
        <f t="shared" ref="MW58:MW74" si="437">MU58+MT58</f>
        <v>1192.5</v>
      </c>
      <c r="MX58" s="200">
        <f t="shared" ref="MX58:MX74" si="438">MIN(1/(MV58/(MW58+1E-50)+1E-50),1)</f>
        <v>0.85206691986779282</v>
      </c>
      <c r="MY58" s="157">
        <f t="shared" ref="MY58:MY74" si="439">MX58*MV58</f>
        <v>1192.5000000000002</v>
      </c>
      <c r="MZ58" s="157">
        <f t="shared" ref="MZ58:MZ74" si="440">($AN$21=1)*AN58+($AL$21=1)*AL58+($AM$21=1)*AM58</f>
        <v>645.54794520547944</v>
      </c>
      <c r="NA58" s="162">
        <f t="shared" si="222"/>
        <v>701.98972274266362</v>
      </c>
      <c r="NB58" s="157">
        <f t="shared" si="223"/>
        <v>701.98972274266362</v>
      </c>
      <c r="NC58" s="157">
        <f t="shared" si="224"/>
        <v>525</v>
      </c>
      <c r="ND58" s="207">
        <f t="shared" ref="ND58:ND74" si="441">NB58/MD58</f>
        <v>280.79588909706547</v>
      </c>
      <c r="NE58" s="207">
        <f t="shared" si="225"/>
        <v>350</v>
      </c>
      <c r="NF58" s="157">
        <f t="shared" si="226"/>
        <v>280.79588909706547</v>
      </c>
      <c r="NG58" s="157">
        <f t="shared" ref="NG58:NG74" si="442">NF58*(MD58-1)</f>
        <v>421.1938336455982</v>
      </c>
      <c r="NH58" s="157">
        <f t="shared" ref="NH58:NH74" si="443">NF58*MD58</f>
        <v>701.98972274266362</v>
      </c>
      <c r="NI58" s="168">
        <f t="shared" ref="NI58:NI74" si="444">NF58/1000*$MC58</f>
        <v>83.957970840022867</v>
      </c>
      <c r="NJ58" s="168">
        <f t="shared" ref="NJ58:NJ74" si="445">NG58/1000*$MC58</f>
        <v>125.93695626003429</v>
      </c>
      <c r="NK58" s="168">
        <f t="shared" ref="NK58:NK74" si="446">NH58/1000*$MC58</f>
        <v>209.89492710005712</v>
      </c>
      <c r="NL58" s="157">
        <f t="shared" si="230"/>
        <v>0</v>
      </c>
      <c r="NM58" s="168">
        <f t="shared" ref="NM58:NM74" si="447">MS58/1000*$MC58</f>
        <v>16.876091483618175</v>
      </c>
      <c r="NN58" s="168">
        <f t="shared" ref="NN58:NN74" si="448">MY58/1000*$MC58</f>
        <v>356.55750000000131</v>
      </c>
      <c r="NO58" s="168">
        <f t="shared" ref="NO58:NO74" si="449">NA58/1000*$MC58</f>
        <v>209.89492710005712</v>
      </c>
      <c r="NP58" s="168">
        <f t="shared" si="234"/>
        <v>0</v>
      </c>
      <c r="NQ58" s="168">
        <f t="shared" si="235"/>
        <v>597.11733561644041</v>
      </c>
      <c r="NR58" s="157">
        <f t="shared" si="236"/>
        <v>56.441777537184365</v>
      </c>
      <c r="NS58" s="168">
        <f t="shared" ref="NS58:NS74" si="450">NG58/1000*$MC58</f>
        <v>125.93695626003429</v>
      </c>
      <c r="NT58" s="157">
        <f t="shared" si="319"/>
        <v>1997.0479452054794</v>
      </c>
      <c r="NU58" s="168">
        <f t="shared" ref="NU58:NU74" si="451">MR58/1000*$MC58</f>
        <v>179.93820000000062</v>
      </c>
      <c r="NV58" s="168">
        <f t="shared" ref="NV58:NV74" si="452">(MR58-MQ58)/1000*$MC58</f>
        <v>149.27329148361861</v>
      </c>
      <c r="NX58" s="157"/>
      <c r="NY58" s="157"/>
      <c r="NZ58" s="157"/>
      <c r="OA58" s="157"/>
      <c r="OB58" s="157"/>
    </row>
    <row r="59" spans="1:392" ht="13" x14ac:dyDescent="0.3">
      <c r="A59" s="154">
        <v>79.109589041095902</v>
      </c>
      <c r="B59" s="154">
        <v>13.5</v>
      </c>
      <c r="C59" s="154">
        <f t="shared" si="320"/>
        <v>13.5</v>
      </c>
      <c r="D59" s="154">
        <v>47382.7</v>
      </c>
      <c r="E59" s="200">
        <f t="shared" si="332"/>
        <v>150.90031847133727</v>
      </c>
      <c r="F59" s="181">
        <f t="shared" si="333"/>
        <v>661.5</v>
      </c>
      <c r="G59" s="161">
        <f t="shared" si="334"/>
        <v>314.00000000000063</v>
      </c>
      <c r="H59" s="154">
        <f t="shared" si="55"/>
        <v>0.66149999999999998</v>
      </c>
      <c r="I59" s="161">
        <f t="shared" si="56"/>
        <v>2355.0000000000045</v>
      </c>
      <c r="J59" s="181">
        <f t="shared" si="57"/>
        <v>21</v>
      </c>
      <c r="K59" s="181">
        <f t="shared" si="58"/>
        <v>15.351658137921884</v>
      </c>
      <c r="L59" s="181">
        <f t="shared" si="59"/>
        <v>14.300180838173386</v>
      </c>
      <c r="M59" s="181">
        <f t="shared" si="60"/>
        <v>13.5</v>
      </c>
      <c r="N59" s="181">
        <f t="shared" si="61"/>
        <v>14.670512465757762</v>
      </c>
      <c r="O59" s="181">
        <f t="shared" si="62"/>
        <v>14.670512465757762</v>
      </c>
      <c r="P59" s="181">
        <f t="shared" si="63"/>
        <v>15</v>
      </c>
      <c r="Q59" s="181">
        <f t="shared" si="64"/>
        <v>18.86235744930044</v>
      </c>
      <c r="R59" s="168">
        <f t="shared" si="65"/>
        <v>209.28205264835216</v>
      </c>
      <c r="S59" s="161">
        <f t="shared" si="66"/>
        <v>232.65765479452094</v>
      </c>
      <c r="T59" s="161">
        <f t="shared" si="67"/>
        <v>42.40012492461446</v>
      </c>
      <c r="U59" s="161">
        <f t="shared" si="68"/>
        <v>25.150124924614452</v>
      </c>
      <c r="V59" s="154">
        <f t="shared" si="69"/>
        <v>2.0955407177806355E-2</v>
      </c>
      <c r="W59" s="154">
        <f t="shared" si="70"/>
        <v>0</v>
      </c>
      <c r="X59" s="154">
        <f t="shared" si="71"/>
        <v>0.74094794520547924</v>
      </c>
      <c r="Y59" s="154">
        <f t="shared" si="72"/>
        <v>1.8380479452054792</v>
      </c>
      <c r="Z59" s="154">
        <f t="shared" si="321"/>
        <v>0.53100000000000003</v>
      </c>
      <c r="AA59" s="154">
        <f t="shared" si="322"/>
        <v>1.0971</v>
      </c>
      <c r="AB59" s="154">
        <f t="shared" si="323"/>
        <v>0.66650335238328584</v>
      </c>
      <c r="AC59" s="154">
        <f t="shared" si="324"/>
        <v>0.64554794520547942</v>
      </c>
      <c r="AD59" s="154">
        <f t="shared" si="325"/>
        <v>0.26660134095331434</v>
      </c>
      <c r="AE59" s="154">
        <f t="shared" si="326"/>
        <v>0.3999020114299715</v>
      </c>
      <c r="AF59" s="154">
        <f t="shared" si="327"/>
        <v>0.66650335238328584</v>
      </c>
      <c r="AG59" s="154">
        <f t="shared" si="75"/>
        <v>7.4444592822193664E-2</v>
      </c>
      <c r="AH59" s="154">
        <f t="shared" si="76"/>
        <v>0.74094794520547946</v>
      </c>
      <c r="AI59" s="154">
        <f t="shared" si="77"/>
        <v>0.58732876712328763</v>
      </c>
      <c r="AJ59" s="154">
        <f t="shared" si="78"/>
        <v>5.8219178082191785E-2</v>
      </c>
      <c r="AK59" s="154">
        <f t="shared" si="79"/>
        <v>0</v>
      </c>
      <c r="AL59" s="161">
        <f t="shared" si="80"/>
        <v>587.32876712328766</v>
      </c>
      <c r="AM59" s="161">
        <f t="shared" si="81"/>
        <v>58.219178082191782</v>
      </c>
      <c r="AN59" s="161">
        <f t="shared" si="82"/>
        <v>0</v>
      </c>
      <c r="AO59" s="161"/>
      <c r="AP59" s="154">
        <f t="shared" si="83"/>
        <v>0.64554794520547942</v>
      </c>
      <c r="AQ59" s="154">
        <f t="shared" si="84"/>
        <v>0.64554794520547942</v>
      </c>
      <c r="AR59" s="154">
        <f t="shared" si="85"/>
        <v>0.76190335238328577</v>
      </c>
      <c r="AS59" s="161"/>
      <c r="AT59" s="161"/>
      <c r="AU59" s="161"/>
      <c r="AV59" s="161"/>
      <c r="AW59" s="181"/>
      <c r="AX59" s="181"/>
      <c r="AY59" s="181"/>
      <c r="AZ59" s="181"/>
      <c r="BA59" s="181"/>
      <c r="BB59" s="161"/>
      <c r="BC59" s="161"/>
      <c r="BD59" s="161"/>
      <c r="BE59" s="181"/>
      <c r="BF59" s="168"/>
      <c r="BG59" s="181"/>
      <c r="BH59" s="168"/>
      <c r="BI59" s="168"/>
      <c r="BJ59" s="161"/>
      <c r="BK59" s="168"/>
      <c r="BL59" s="168"/>
      <c r="BM59" s="168"/>
      <c r="BN59" s="168"/>
      <c r="BO59" s="168">
        <f t="shared" si="335"/>
        <v>184.42123287671268</v>
      </c>
      <c r="BP59" s="168">
        <f t="shared" si="336"/>
        <v>18.280821917808257</v>
      </c>
      <c r="BQ59" s="168">
        <f t="shared" si="337"/>
        <v>0</v>
      </c>
      <c r="BR59" s="181"/>
      <c r="BS59" s="161"/>
      <c r="BT59" s="168"/>
      <c r="BU59" s="161"/>
      <c r="BV59" s="161"/>
      <c r="BW59" s="161"/>
      <c r="BX59" s="161"/>
      <c r="CB59" s="181">
        <f t="shared" ref="CB59:CI74" si="453">CB$23*$E59*CB$21*CB$20</f>
        <v>138.37581827557528</v>
      </c>
      <c r="CC59" s="181">
        <f t="shared" si="453"/>
        <v>0</v>
      </c>
      <c r="CD59" s="181">
        <f t="shared" si="453"/>
        <v>161.73539118856144</v>
      </c>
      <c r="CE59" s="181">
        <f t="shared" si="453"/>
        <v>0</v>
      </c>
      <c r="CF59" s="181">
        <f t="shared" si="453"/>
        <v>538.00148926173745</v>
      </c>
      <c r="CG59" s="181">
        <f t="shared" si="453"/>
        <v>0</v>
      </c>
      <c r="CH59" s="181">
        <f t="shared" si="453"/>
        <v>161.94681000057264</v>
      </c>
      <c r="CI59" s="181">
        <f t="shared" si="453"/>
        <v>0</v>
      </c>
      <c r="CJ59" s="182">
        <f t="shared" si="338"/>
        <v>1000.0595087264469</v>
      </c>
      <c r="CK59" s="161">
        <f t="shared" si="339"/>
        <v>1000.0595087264469</v>
      </c>
      <c r="CL59" s="161">
        <f t="shared" si="243"/>
        <v>529.19999999999993</v>
      </c>
      <c r="CM59" s="182">
        <f t="shared" si="340"/>
        <v>1529.2595087264467</v>
      </c>
      <c r="CN59" s="157">
        <f t="shared" si="341"/>
        <v>314.01868574010496</v>
      </c>
      <c r="CO59" s="162">
        <f t="shared" si="342"/>
        <v>1529.2595087264467</v>
      </c>
      <c r="FT59" s="168">
        <f t="shared" si="244"/>
        <v>2.5</v>
      </c>
      <c r="FU59" s="161">
        <f t="shared" si="245"/>
        <v>350</v>
      </c>
      <c r="FV59" s="161">
        <f t="shared" si="343"/>
        <v>525</v>
      </c>
      <c r="FW59" s="161">
        <f t="shared" si="344"/>
        <v>875</v>
      </c>
      <c r="FX59" s="161">
        <v>300.00000000000102</v>
      </c>
      <c r="FY59" s="168">
        <f t="shared" si="345"/>
        <v>2.5</v>
      </c>
      <c r="FZ59" s="161">
        <v>258.21917808310963</v>
      </c>
      <c r="GA59" s="161">
        <v>387.32876712466441</v>
      </c>
      <c r="GB59" s="161">
        <v>645.54794520777409</v>
      </c>
      <c r="GC59" s="168">
        <f t="shared" si="246"/>
        <v>0.56785714285714284</v>
      </c>
      <c r="GD59" s="154">
        <f t="shared" si="97"/>
        <v>21</v>
      </c>
      <c r="GE59" s="181">
        <f t="shared" si="346"/>
        <v>15.529254701629034</v>
      </c>
      <c r="GF59" s="181">
        <f t="shared" si="347"/>
        <v>14.376927924632547</v>
      </c>
      <c r="GG59" s="154">
        <f t="shared" si="99"/>
        <v>13.5</v>
      </c>
      <c r="GH59" s="181">
        <f t="shared" si="348"/>
        <v>14.782778864958354</v>
      </c>
      <c r="GI59" s="181">
        <f t="shared" si="349"/>
        <v>24.932903789608893</v>
      </c>
      <c r="GJ59" s="181">
        <f t="shared" si="102"/>
        <v>24.932903789608893</v>
      </c>
      <c r="GK59" s="181">
        <f t="shared" si="103"/>
        <v>13.5</v>
      </c>
      <c r="GL59" s="157">
        <f t="shared" si="350"/>
        <v>81.58473581135128</v>
      </c>
      <c r="GM59" s="157">
        <f t="shared" si="105"/>
        <v>531</v>
      </c>
      <c r="GN59" s="157">
        <f t="shared" si="106"/>
        <v>0</v>
      </c>
      <c r="GO59" s="157">
        <f t="shared" si="107"/>
        <v>449.41526418864873</v>
      </c>
      <c r="GP59" s="157">
        <f t="shared" si="108"/>
        <v>661.5</v>
      </c>
      <c r="GQ59" s="157">
        <f t="shared" si="109"/>
        <v>1529.2595087264467</v>
      </c>
      <c r="GR59" s="157">
        <f t="shared" si="351"/>
        <v>1110.9152641886487</v>
      </c>
      <c r="GS59" s="200">
        <f t="shared" si="352"/>
        <v>0.72643999128297643</v>
      </c>
      <c r="GT59" s="157">
        <f t="shared" si="353"/>
        <v>1110.9152641886487</v>
      </c>
      <c r="GU59" s="157">
        <f t="shared" si="354"/>
        <v>645.54794520547944</v>
      </c>
      <c r="GV59" s="162">
        <f t="shared" si="114"/>
        <v>645.54794520547944</v>
      </c>
      <c r="GW59" s="157">
        <f t="shared" si="355"/>
        <v>645.54794520547944</v>
      </c>
      <c r="GX59" s="157">
        <f t="shared" si="247"/>
        <v>525</v>
      </c>
      <c r="GY59" s="207">
        <f t="shared" si="356"/>
        <v>258.21917808219177</v>
      </c>
      <c r="GZ59" s="207">
        <f t="shared" si="116"/>
        <v>350</v>
      </c>
      <c r="HA59" s="157">
        <f t="shared" si="117"/>
        <v>258.21917808228352</v>
      </c>
      <c r="HB59" s="157">
        <f t="shared" si="357"/>
        <v>387.32876712342528</v>
      </c>
      <c r="HC59" s="157">
        <f t="shared" si="358"/>
        <v>645.54794520570886</v>
      </c>
      <c r="HD59" s="168">
        <f t="shared" si="359"/>
        <v>77.465753424685317</v>
      </c>
      <c r="HE59" s="168">
        <f t="shared" si="360"/>
        <v>116.19863013702798</v>
      </c>
      <c r="HF59" s="168">
        <f t="shared" si="361"/>
        <v>193.66438356171332</v>
      </c>
      <c r="HG59" s="157">
        <f t="shared" si="119"/>
        <v>-2.2942003852222115E-10</v>
      </c>
      <c r="HH59" s="168">
        <f t="shared" si="362"/>
        <v>0</v>
      </c>
      <c r="HI59" s="168">
        <f t="shared" si="363"/>
        <v>333.27457925659581</v>
      </c>
      <c r="HJ59" s="168">
        <f t="shared" si="364"/>
        <v>193.66438356164448</v>
      </c>
      <c r="HK59" s="168">
        <f t="shared" si="123"/>
        <v>0</v>
      </c>
      <c r="HL59" s="168">
        <f t="shared" si="124"/>
        <v>551.41438356164576</v>
      </c>
      <c r="HM59" s="157">
        <f t="shared" si="125"/>
        <v>645.54794520777432</v>
      </c>
      <c r="HN59" s="168">
        <f t="shared" si="365"/>
        <v>116.19863013702798</v>
      </c>
      <c r="HP59" s="168">
        <f t="shared" si="366"/>
        <v>159.30000000000055</v>
      </c>
      <c r="HQ59" s="168">
        <f t="shared" si="367"/>
        <v>134.82457925659509</v>
      </c>
      <c r="HR59" s="181"/>
      <c r="HU59" s="168">
        <f t="shared" ref="HU59:HV59" si="454">HU58</f>
        <v>2.5</v>
      </c>
      <c r="HV59" s="161">
        <f t="shared" si="454"/>
        <v>350</v>
      </c>
      <c r="HW59" s="161">
        <f t="shared" si="369"/>
        <v>525</v>
      </c>
      <c r="HX59" s="161">
        <f t="shared" si="370"/>
        <v>875</v>
      </c>
      <c r="HY59" s="161">
        <v>300.00000000000102</v>
      </c>
      <c r="HZ59" s="168">
        <f t="shared" si="371"/>
        <v>2.5</v>
      </c>
      <c r="IA59" s="161">
        <v>152.97857142857151</v>
      </c>
      <c r="IB59" s="161">
        <v>229.46785714285727</v>
      </c>
      <c r="IC59" s="161">
        <v>382.44642857142878</v>
      </c>
      <c r="ID59" s="168">
        <f t="shared" ref="ID59" si="455">ID58</f>
        <v>0.56785714285714284</v>
      </c>
      <c r="IE59" s="154">
        <f t="shared" si="130"/>
        <v>21</v>
      </c>
      <c r="IF59" s="154">
        <f t="shared" si="131"/>
        <v>13.5</v>
      </c>
      <c r="IG59" s="181">
        <f t="shared" si="373"/>
        <v>16.741071428571431</v>
      </c>
      <c r="IH59" s="181">
        <f t="shared" si="374"/>
        <v>18.241071428571427</v>
      </c>
      <c r="II59" s="181">
        <f t="shared" si="375"/>
        <v>13.5</v>
      </c>
      <c r="IJ59" s="181">
        <f t="shared" si="376"/>
        <v>24.254380053908356</v>
      </c>
      <c r="IK59" s="181">
        <f t="shared" si="377"/>
        <v>24.254380053908356</v>
      </c>
      <c r="IL59" s="181">
        <f t="shared" si="250"/>
        <v>0</v>
      </c>
      <c r="IM59" s="181">
        <f t="shared" si="137"/>
        <v>13.5</v>
      </c>
      <c r="IN59" s="157">
        <f t="shared" si="378"/>
        <v>301.53214285714267</v>
      </c>
      <c r="IO59" s="157">
        <f t="shared" si="139"/>
        <v>531</v>
      </c>
      <c r="IP59" s="157">
        <f t="shared" si="42"/>
        <v>0</v>
      </c>
      <c r="IQ59" s="157">
        <f t="shared" si="43"/>
        <v>229.46785714285733</v>
      </c>
      <c r="IR59" s="157">
        <f t="shared" si="140"/>
        <v>661.5</v>
      </c>
      <c r="IS59" s="157">
        <f t="shared" si="141"/>
        <v>1529.2595087264467</v>
      </c>
      <c r="IT59" s="157">
        <f t="shared" si="379"/>
        <v>890.96785714285738</v>
      </c>
      <c r="IU59" s="200">
        <f t="shared" si="380"/>
        <v>0.58261390696523918</v>
      </c>
      <c r="IV59" s="157">
        <f t="shared" si="381"/>
        <v>890.96785714285738</v>
      </c>
      <c r="IW59" s="157">
        <f t="shared" si="382"/>
        <v>645.54794520547944</v>
      </c>
      <c r="IX59" s="162">
        <f t="shared" si="146"/>
        <v>645.54794520547944</v>
      </c>
      <c r="IY59" s="157">
        <f t="shared" si="22"/>
        <v>645.54794520547944</v>
      </c>
      <c r="IZ59" s="157">
        <f t="shared" si="147"/>
        <v>229.46785714285727</v>
      </c>
      <c r="JA59" s="207">
        <f t="shared" si="383"/>
        <v>258.21917808219177</v>
      </c>
      <c r="JB59" s="207">
        <f t="shared" si="149"/>
        <v>152.97857142857151</v>
      </c>
      <c r="JC59" s="157">
        <f t="shared" si="150"/>
        <v>152.97857142857151</v>
      </c>
      <c r="JD59" s="157">
        <f t="shared" si="384"/>
        <v>229.46785714285727</v>
      </c>
      <c r="JE59" s="157">
        <f t="shared" si="385"/>
        <v>382.44642857142878</v>
      </c>
      <c r="JF59" s="168">
        <f t="shared" si="386"/>
        <v>45.893571428571612</v>
      </c>
      <c r="JG59" s="168">
        <f t="shared" si="387"/>
        <v>68.840357142857414</v>
      </c>
      <c r="JH59" s="168">
        <f t="shared" si="388"/>
        <v>114.73392857142903</v>
      </c>
      <c r="JI59" s="157">
        <f t="shared" si="156"/>
        <v>263.10151663405065</v>
      </c>
      <c r="JJ59" s="168">
        <f t="shared" si="389"/>
        <v>0</v>
      </c>
      <c r="JK59" s="168">
        <f t="shared" si="390"/>
        <v>267.29035714285811</v>
      </c>
      <c r="JL59" s="168">
        <f t="shared" si="391"/>
        <v>193.66438356164448</v>
      </c>
      <c r="JM59" s="168">
        <f t="shared" si="160"/>
        <v>78.93045499021548</v>
      </c>
      <c r="JN59" s="168">
        <f t="shared" si="161"/>
        <v>551.41438356164576</v>
      </c>
      <c r="JO59" s="157">
        <f t="shared" si="162"/>
        <v>0</v>
      </c>
      <c r="JP59" s="168">
        <f t="shared" si="392"/>
        <v>68.840357142857414</v>
      </c>
      <c r="JR59" s="168">
        <f t="shared" si="393"/>
        <v>159.30000000000055</v>
      </c>
      <c r="JS59" s="168">
        <f t="shared" si="394"/>
        <v>68.840357142857428</v>
      </c>
      <c r="JT59" s="181"/>
      <c r="JW59" s="168">
        <f t="shared" ref="JW59:JX59" si="456">JW58</f>
        <v>2.5</v>
      </c>
      <c r="JX59" s="161">
        <f t="shared" si="456"/>
        <v>350</v>
      </c>
      <c r="JY59" s="161">
        <f t="shared" si="396"/>
        <v>525</v>
      </c>
      <c r="JZ59" s="161">
        <f t="shared" si="397"/>
        <v>875</v>
      </c>
      <c r="KA59" s="161">
        <v>300.00000000000102</v>
      </c>
      <c r="KB59" s="168">
        <f t="shared" si="398"/>
        <v>2.5</v>
      </c>
      <c r="KC59" s="161">
        <v>152.97857142857151</v>
      </c>
      <c r="KD59" s="161">
        <v>229.46785714285727</v>
      </c>
      <c r="KE59" s="161">
        <v>382.44642857142878</v>
      </c>
      <c r="KF59" s="168">
        <f t="shared" ref="KF59" si="457">KF58</f>
        <v>0.56785714285714284</v>
      </c>
      <c r="KG59" s="154">
        <f t="shared" si="167"/>
        <v>21</v>
      </c>
      <c r="KH59" s="154">
        <f t="shared" si="168"/>
        <v>13.5</v>
      </c>
      <c r="KI59" s="181">
        <f t="shared" si="400"/>
        <v>16.741071428571431</v>
      </c>
      <c r="KJ59" s="181">
        <f t="shared" si="401"/>
        <v>18.241071428571427</v>
      </c>
      <c r="KK59" s="181">
        <f t="shared" si="402"/>
        <v>13.5</v>
      </c>
      <c r="KL59" s="181">
        <f t="shared" si="403"/>
        <v>18.241071428571427</v>
      </c>
      <c r="KM59" s="181">
        <f t="shared" si="404"/>
        <v>18.241071428571427</v>
      </c>
      <c r="KN59" s="181">
        <f t="shared" si="253"/>
        <v>0</v>
      </c>
      <c r="KO59" s="181">
        <f t="shared" si="174"/>
        <v>13.5</v>
      </c>
      <c r="KP59" s="157">
        <f t="shared" si="405"/>
        <v>301.53214285714267</v>
      </c>
      <c r="KQ59" s="157">
        <f t="shared" si="46"/>
        <v>531</v>
      </c>
      <c r="KR59" s="157">
        <f t="shared" si="406"/>
        <v>0</v>
      </c>
      <c r="KS59" s="157">
        <f t="shared" si="407"/>
        <v>229.46785714285733</v>
      </c>
      <c r="KT59" s="157">
        <f t="shared" si="178"/>
        <v>661.5</v>
      </c>
      <c r="KU59" s="157">
        <f t="shared" si="179"/>
        <v>1529.2595087264467</v>
      </c>
      <c r="KV59" s="157">
        <f t="shared" si="408"/>
        <v>890.96785714285738</v>
      </c>
      <c r="KW59" s="200">
        <f t="shared" si="409"/>
        <v>0.58261390696523918</v>
      </c>
      <c r="KX59" s="157">
        <f t="shared" si="410"/>
        <v>890.96785714285738</v>
      </c>
      <c r="KY59" s="157">
        <f t="shared" si="411"/>
        <v>645.54794520547944</v>
      </c>
      <c r="KZ59" s="162">
        <f t="shared" si="47"/>
        <v>645.54794520547944</v>
      </c>
      <c r="LA59" s="157">
        <f t="shared" si="184"/>
        <v>645.54794520547944</v>
      </c>
      <c r="LB59" s="157">
        <f t="shared" si="185"/>
        <v>229.46785714285727</v>
      </c>
      <c r="LC59" s="207">
        <f t="shared" si="412"/>
        <v>258.21917808219177</v>
      </c>
      <c r="LD59" s="207">
        <f t="shared" si="187"/>
        <v>152.97857142857151</v>
      </c>
      <c r="LE59" s="157">
        <f t="shared" si="188"/>
        <v>152.97857142857151</v>
      </c>
      <c r="LF59" s="157">
        <f t="shared" si="413"/>
        <v>229.46785714285727</v>
      </c>
      <c r="LG59" s="157">
        <f t="shared" si="414"/>
        <v>382.44642857142878</v>
      </c>
      <c r="LH59" s="168">
        <f t="shared" si="415"/>
        <v>45.893571428571612</v>
      </c>
      <c r="LI59" s="168">
        <f t="shared" si="416"/>
        <v>68.840357142857414</v>
      </c>
      <c r="LJ59" s="168">
        <f t="shared" si="417"/>
        <v>114.73392857142903</v>
      </c>
      <c r="LK59" s="157">
        <f t="shared" si="194"/>
        <v>263.10151663405065</v>
      </c>
      <c r="LL59" s="168">
        <f t="shared" si="418"/>
        <v>0</v>
      </c>
      <c r="LM59" s="168">
        <f t="shared" si="419"/>
        <v>267.29035714285811</v>
      </c>
      <c r="LN59" s="168">
        <f t="shared" si="420"/>
        <v>193.66438356164448</v>
      </c>
      <c r="LO59" s="168">
        <f t="shared" si="198"/>
        <v>78.93045499021548</v>
      </c>
      <c r="LP59" s="168">
        <f t="shared" si="199"/>
        <v>551.41438356164576</v>
      </c>
      <c r="LQ59" s="157">
        <f t="shared" si="200"/>
        <v>0</v>
      </c>
      <c r="LR59" s="168">
        <f t="shared" si="421"/>
        <v>68.840357142857414</v>
      </c>
      <c r="LT59" s="168">
        <f t="shared" si="422"/>
        <v>159.30000000000055</v>
      </c>
      <c r="LU59" s="168">
        <f t="shared" si="423"/>
        <v>68.840357142857428</v>
      </c>
      <c r="LV59" s="181"/>
      <c r="LY59" s="168">
        <f t="shared" ref="LY59:LZ59" si="458">LY58</f>
        <v>2.5</v>
      </c>
      <c r="LZ59" s="161">
        <f t="shared" si="458"/>
        <v>350</v>
      </c>
      <c r="MA59" s="161">
        <f t="shared" si="425"/>
        <v>525</v>
      </c>
      <c r="MB59" s="161">
        <f t="shared" si="426"/>
        <v>875</v>
      </c>
      <c r="MC59" s="161">
        <v>300.00000000000102</v>
      </c>
      <c r="MD59" s="168">
        <f t="shared" si="427"/>
        <v>2.5</v>
      </c>
      <c r="ME59" s="161">
        <v>266.60173589008701</v>
      </c>
      <c r="MF59" s="161">
        <v>399.90260383513055</v>
      </c>
      <c r="MG59" s="161">
        <v>666.50433972521751</v>
      </c>
      <c r="MH59" s="168">
        <f t="shared" ref="MH59" si="459">MH58</f>
        <v>0.56785714285714284</v>
      </c>
      <c r="MI59" s="154">
        <f t="shared" si="205"/>
        <v>21</v>
      </c>
      <c r="MJ59" s="181">
        <f t="shared" si="429"/>
        <v>15.351658137921884</v>
      </c>
      <c r="MK59" s="181">
        <f t="shared" si="430"/>
        <v>14.300180838173386</v>
      </c>
      <c r="ML59" s="154">
        <f t="shared" si="208"/>
        <v>13.5</v>
      </c>
      <c r="MM59" s="181">
        <f t="shared" si="431"/>
        <v>14.670512465757762</v>
      </c>
      <c r="MN59" s="181">
        <f t="shared" si="432"/>
        <v>14.670512465757762</v>
      </c>
      <c r="MO59" s="181">
        <f t="shared" si="433"/>
        <v>15</v>
      </c>
      <c r="MP59" s="181">
        <f t="shared" si="212"/>
        <v>13.5</v>
      </c>
      <c r="MQ59" s="157">
        <f t="shared" si="434"/>
        <v>74.44459282219367</v>
      </c>
      <c r="MR59" s="157">
        <f t="shared" si="213"/>
        <v>531</v>
      </c>
      <c r="MS59" s="157">
        <f t="shared" si="435"/>
        <v>20.955407177806354</v>
      </c>
      <c r="MT59" s="157">
        <f t="shared" si="436"/>
        <v>435.59999999999997</v>
      </c>
      <c r="MU59" s="157">
        <f t="shared" si="216"/>
        <v>661.5</v>
      </c>
      <c r="MV59" s="157">
        <f t="shared" si="217"/>
        <v>1529.2595087264467</v>
      </c>
      <c r="MW59" s="157">
        <f t="shared" si="437"/>
        <v>1097.0999999999999</v>
      </c>
      <c r="MX59" s="200">
        <f t="shared" si="438"/>
        <v>0.71740603458052365</v>
      </c>
      <c r="MY59" s="157">
        <f t="shared" si="439"/>
        <v>1097.0999999999999</v>
      </c>
      <c r="MZ59" s="157">
        <f t="shared" si="440"/>
        <v>645.54794520547944</v>
      </c>
      <c r="NA59" s="162">
        <f t="shared" si="222"/>
        <v>666.5033523832858</v>
      </c>
      <c r="NB59" s="157">
        <f t="shared" si="223"/>
        <v>666.5033523832858</v>
      </c>
      <c r="NC59" s="157">
        <f t="shared" si="224"/>
        <v>525</v>
      </c>
      <c r="ND59" s="207">
        <f t="shared" si="441"/>
        <v>266.60134095331432</v>
      </c>
      <c r="NE59" s="207">
        <f t="shared" si="225"/>
        <v>350</v>
      </c>
      <c r="NF59" s="157">
        <f t="shared" si="226"/>
        <v>266.60134095331432</v>
      </c>
      <c r="NG59" s="157">
        <f t="shared" si="442"/>
        <v>399.90201142997148</v>
      </c>
      <c r="NH59" s="157">
        <f t="shared" si="443"/>
        <v>666.5033523832858</v>
      </c>
      <c r="NI59" s="168">
        <f t="shared" si="444"/>
        <v>79.980402285994572</v>
      </c>
      <c r="NJ59" s="168">
        <f t="shared" si="445"/>
        <v>119.97060342899186</v>
      </c>
      <c r="NK59" s="168">
        <f t="shared" si="446"/>
        <v>199.95100571498642</v>
      </c>
      <c r="NL59" s="157">
        <f t="shared" si="230"/>
        <v>0</v>
      </c>
      <c r="NM59" s="168">
        <f t="shared" si="447"/>
        <v>6.286622153341928</v>
      </c>
      <c r="NN59" s="168">
        <f t="shared" si="448"/>
        <v>329.13000000000113</v>
      </c>
      <c r="NO59" s="168">
        <f t="shared" si="449"/>
        <v>199.95100571498642</v>
      </c>
      <c r="NP59" s="168">
        <f t="shared" si="234"/>
        <v>0</v>
      </c>
      <c r="NQ59" s="168">
        <f t="shared" si="235"/>
        <v>551.41438356164576</v>
      </c>
      <c r="NR59" s="157">
        <f t="shared" si="236"/>
        <v>20.955407177806322</v>
      </c>
      <c r="NS59" s="168">
        <f t="shared" si="450"/>
        <v>119.97060342899186</v>
      </c>
      <c r="NT59" s="157">
        <f t="shared" si="319"/>
        <v>1838.0479452054794</v>
      </c>
      <c r="NU59" s="168">
        <f t="shared" si="451"/>
        <v>159.30000000000055</v>
      </c>
      <c r="NV59" s="168">
        <f t="shared" si="452"/>
        <v>136.96662215334237</v>
      </c>
      <c r="NX59" s="157"/>
      <c r="NY59" s="157"/>
      <c r="NZ59" s="157"/>
      <c r="OA59" s="157"/>
      <c r="OB59" s="157"/>
    </row>
    <row r="60" spans="1:392" ht="13" x14ac:dyDescent="0.3">
      <c r="A60" s="154">
        <v>82.659817351598178</v>
      </c>
      <c r="B60" s="154">
        <v>14.5</v>
      </c>
      <c r="C60" s="154">
        <f t="shared" si="320"/>
        <v>14.5</v>
      </c>
      <c r="D60" s="154">
        <v>54085.3</v>
      </c>
      <c r="E60" s="200">
        <f t="shared" si="332"/>
        <v>173.90771704180094</v>
      </c>
      <c r="F60" s="181">
        <f t="shared" si="333"/>
        <v>573.30000000000007</v>
      </c>
      <c r="G60" s="161">
        <f t="shared" si="334"/>
        <v>310.99999999999949</v>
      </c>
      <c r="H60" s="154">
        <f t="shared" si="55"/>
        <v>0.57330000000000003</v>
      </c>
      <c r="I60" s="161">
        <f t="shared" si="56"/>
        <v>2021.4999999999966</v>
      </c>
      <c r="J60" s="181">
        <f t="shared" si="57"/>
        <v>21</v>
      </c>
      <c r="K60" s="181">
        <f t="shared" si="58"/>
        <v>15.52925470164848</v>
      </c>
      <c r="L60" s="181">
        <f t="shared" si="59"/>
        <v>14.944785067498094</v>
      </c>
      <c r="M60" s="181">
        <f t="shared" si="60"/>
        <v>14.5</v>
      </c>
      <c r="N60" s="181">
        <f t="shared" si="61"/>
        <v>15.150636007827789</v>
      </c>
      <c r="O60" s="181">
        <f t="shared" si="62"/>
        <v>15.150636007827789</v>
      </c>
      <c r="P60" s="181">
        <f t="shared" si="63"/>
        <v>15.150636007827789</v>
      </c>
      <c r="Q60" s="181">
        <f t="shared" si="64"/>
        <v>19.21068597767357</v>
      </c>
      <c r="R60" s="168">
        <f t="shared" si="65"/>
        <v>200.76541095890371</v>
      </c>
      <c r="S60" s="161">
        <f t="shared" si="66"/>
        <v>213.63473093933419</v>
      </c>
      <c r="T60" s="161">
        <f t="shared" si="67"/>
        <v>40.90012492461446</v>
      </c>
      <c r="U60" s="161">
        <f t="shared" si="68"/>
        <v>25.300760932442241</v>
      </c>
      <c r="V60" s="154">
        <f t="shared" si="69"/>
        <v>0</v>
      </c>
      <c r="W60" s="154">
        <f t="shared" si="70"/>
        <v>0</v>
      </c>
      <c r="X60" s="154">
        <f t="shared" si="71"/>
        <v>0.6869283953033265</v>
      </c>
      <c r="Y60" s="154">
        <f t="shared" si="72"/>
        <v>1.6790479452054794</v>
      </c>
      <c r="Z60" s="154">
        <f t="shared" si="321"/>
        <v>0.4602</v>
      </c>
      <c r="AA60" s="154">
        <f t="shared" si="322"/>
        <v>0.9921195499021529</v>
      </c>
      <c r="AB60" s="154">
        <f t="shared" si="323"/>
        <v>0.6455479452054792</v>
      </c>
      <c r="AC60" s="154">
        <f t="shared" si="324"/>
        <v>0.64554794520547942</v>
      </c>
      <c r="AD60" s="154">
        <f t="shared" si="325"/>
        <v>0.25821917808219164</v>
      </c>
      <c r="AE60" s="154">
        <f t="shared" si="326"/>
        <v>0.38732876712328751</v>
      </c>
      <c r="AF60" s="154">
        <f t="shared" si="327"/>
        <v>0.6455479452054792</v>
      </c>
      <c r="AG60" s="154">
        <f t="shared" si="75"/>
        <v>4.1380450097847313E-2</v>
      </c>
      <c r="AH60" s="154">
        <f t="shared" si="76"/>
        <v>0.6869283953033265</v>
      </c>
      <c r="AI60" s="154">
        <f t="shared" si="77"/>
        <v>0.58732876712328763</v>
      </c>
      <c r="AJ60" s="154">
        <f t="shared" si="78"/>
        <v>5.8219178082191785E-2</v>
      </c>
      <c r="AK60" s="154">
        <f t="shared" si="79"/>
        <v>0</v>
      </c>
      <c r="AL60" s="161">
        <f t="shared" si="80"/>
        <v>587.32876712328766</v>
      </c>
      <c r="AM60" s="161">
        <f t="shared" si="81"/>
        <v>58.219178082191782</v>
      </c>
      <c r="AN60" s="161">
        <f t="shared" si="82"/>
        <v>0</v>
      </c>
      <c r="AO60" s="161"/>
      <c r="AP60" s="154">
        <f t="shared" si="83"/>
        <v>0.64554794520547942</v>
      </c>
      <c r="AQ60" s="154">
        <f t="shared" si="84"/>
        <v>0.64554794520547942</v>
      </c>
      <c r="AR60" s="154">
        <f t="shared" si="85"/>
        <v>0.6869283953033265</v>
      </c>
      <c r="AS60" s="161"/>
      <c r="AT60" s="161"/>
      <c r="AU60" s="161"/>
      <c r="AV60" s="161"/>
      <c r="AW60" s="181"/>
      <c r="AX60" s="181"/>
      <c r="AY60" s="181"/>
      <c r="AZ60" s="181"/>
      <c r="BA60" s="181"/>
      <c r="BB60" s="161"/>
      <c r="BC60" s="161"/>
      <c r="BD60" s="161"/>
      <c r="BE60" s="181"/>
      <c r="BF60" s="168"/>
      <c r="BG60" s="181"/>
      <c r="BH60" s="168"/>
      <c r="BI60" s="168"/>
      <c r="BJ60" s="161"/>
      <c r="BK60" s="168"/>
      <c r="BL60" s="168"/>
      <c r="BM60" s="168"/>
      <c r="BN60" s="168"/>
      <c r="BO60" s="168">
        <f t="shared" si="335"/>
        <v>182.65924657534217</v>
      </c>
      <c r="BP60" s="168">
        <f t="shared" si="336"/>
        <v>18.106164383561616</v>
      </c>
      <c r="BQ60" s="168">
        <f t="shared" si="337"/>
        <v>0</v>
      </c>
      <c r="BR60" s="181"/>
      <c r="BS60" s="161"/>
      <c r="BT60" s="168"/>
      <c r="BU60" s="161"/>
      <c r="BV60" s="161"/>
      <c r="BW60" s="161"/>
      <c r="BX60" s="161"/>
      <c r="CB60" s="181">
        <f t="shared" si="453"/>
        <v>159.47363725854137</v>
      </c>
      <c r="CC60" s="181">
        <f t="shared" si="453"/>
        <v>0</v>
      </c>
      <c r="CD60" s="181">
        <f t="shared" si="453"/>
        <v>186.39478651470114</v>
      </c>
      <c r="CE60" s="181">
        <f t="shared" si="453"/>
        <v>0</v>
      </c>
      <c r="CF60" s="181">
        <f t="shared" si="453"/>
        <v>620.02924652786248</v>
      </c>
      <c r="CG60" s="181">
        <f t="shared" si="453"/>
        <v>0</v>
      </c>
      <c r="CH60" s="181">
        <f t="shared" si="453"/>
        <v>186.63843983040664</v>
      </c>
      <c r="CI60" s="181">
        <f t="shared" si="453"/>
        <v>0</v>
      </c>
      <c r="CJ60" s="182">
        <f t="shared" si="338"/>
        <v>1152.5361101315116</v>
      </c>
      <c r="CK60" s="161">
        <f t="shared" si="339"/>
        <v>1152.5361101315116</v>
      </c>
      <c r="CL60" s="161">
        <f t="shared" si="243"/>
        <v>529.19999999999993</v>
      </c>
      <c r="CM60" s="182">
        <f t="shared" si="340"/>
        <v>1681.7361101315114</v>
      </c>
      <c r="CN60" s="157">
        <f t="shared" si="341"/>
        <v>358.43873025089948</v>
      </c>
      <c r="CO60" s="162">
        <f t="shared" si="342"/>
        <v>1681.7361101315114</v>
      </c>
      <c r="FT60" s="168">
        <f t="shared" si="244"/>
        <v>2.5</v>
      </c>
      <c r="FU60" s="161">
        <f t="shared" si="245"/>
        <v>350</v>
      </c>
      <c r="FV60" s="161">
        <f t="shared" si="343"/>
        <v>525</v>
      </c>
      <c r="FW60" s="161">
        <f t="shared" si="344"/>
        <v>875</v>
      </c>
      <c r="FX60" s="161">
        <v>301.00000000000102</v>
      </c>
      <c r="FY60" s="168">
        <f t="shared" si="345"/>
        <v>2.5</v>
      </c>
      <c r="FZ60" s="161">
        <v>258.21917808310957</v>
      </c>
      <c r="GA60" s="161">
        <v>387.32876712466435</v>
      </c>
      <c r="GB60" s="161">
        <v>645.54794520777386</v>
      </c>
      <c r="GC60" s="168">
        <f t="shared" si="246"/>
        <v>0.56785714285714284</v>
      </c>
      <c r="GD60" s="154">
        <f t="shared" si="97"/>
        <v>21</v>
      </c>
      <c r="GE60" s="181">
        <f t="shared" si="346"/>
        <v>15.529254701629036</v>
      </c>
      <c r="GF60" s="181">
        <f t="shared" si="347"/>
        <v>14.94478506748969</v>
      </c>
      <c r="GG60" s="154">
        <f t="shared" si="99"/>
        <v>14.5</v>
      </c>
      <c r="GH60" s="181">
        <f t="shared" si="348"/>
        <v>15.150636007815498</v>
      </c>
      <c r="GI60" s="181">
        <f t="shared" si="349"/>
        <v>25.300760932466034</v>
      </c>
      <c r="GJ60" s="181">
        <f t="shared" si="102"/>
        <v>25.300760932466034</v>
      </c>
      <c r="GK60" s="181">
        <f t="shared" si="103"/>
        <v>14.5</v>
      </c>
      <c r="GL60" s="157">
        <f t="shared" si="350"/>
        <v>41.380450097065683</v>
      </c>
      <c r="GM60" s="157">
        <f t="shared" si="105"/>
        <v>460.2</v>
      </c>
      <c r="GN60" s="157">
        <f t="shared" si="106"/>
        <v>0</v>
      </c>
      <c r="GO60" s="157">
        <f t="shared" si="107"/>
        <v>418.81954990293428</v>
      </c>
      <c r="GP60" s="157">
        <f t="shared" si="108"/>
        <v>573.30000000000007</v>
      </c>
      <c r="GQ60" s="157">
        <f t="shared" si="109"/>
        <v>1681.7361101315114</v>
      </c>
      <c r="GR60" s="157">
        <f t="shared" si="351"/>
        <v>992.1195499029343</v>
      </c>
      <c r="GS60" s="200">
        <f t="shared" si="352"/>
        <v>0.58993771015914664</v>
      </c>
      <c r="GT60" s="157">
        <f t="shared" si="353"/>
        <v>992.1195499029343</v>
      </c>
      <c r="GU60" s="157">
        <f t="shared" si="354"/>
        <v>645.54794520547944</v>
      </c>
      <c r="GV60" s="162">
        <f t="shared" si="114"/>
        <v>645.54794520547944</v>
      </c>
      <c r="GW60" s="157">
        <f t="shared" si="355"/>
        <v>645.54794520547944</v>
      </c>
      <c r="GX60" s="157">
        <f t="shared" si="247"/>
        <v>460.2</v>
      </c>
      <c r="GY60" s="207">
        <f t="shared" si="356"/>
        <v>258.21917808219177</v>
      </c>
      <c r="GZ60" s="207">
        <f t="shared" si="116"/>
        <v>306.8</v>
      </c>
      <c r="HA60" s="157">
        <f t="shared" si="117"/>
        <v>258.21917808228352</v>
      </c>
      <c r="HB60" s="157">
        <f t="shared" si="357"/>
        <v>387.32876712342528</v>
      </c>
      <c r="HC60" s="157">
        <f t="shared" si="358"/>
        <v>645.54794520570886</v>
      </c>
      <c r="HD60" s="168">
        <f t="shared" si="359"/>
        <v>77.723972602767603</v>
      </c>
      <c r="HE60" s="168">
        <f t="shared" si="360"/>
        <v>116.58595890415141</v>
      </c>
      <c r="HF60" s="168">
        <f t="shared" si="361"/>
        <v>194.30993150691904</v>
      </c>
      <c r="HG60" s="157">
        <f t="shared" si="119"/>
        <v>-2.2942003852222115E-10</v>
      </c>
      <c r="HH60" s="168">
        <f t="shared" si="362"/>
        <v>0</v>
      </c>
      <c r="HI60" s="168">
        <f t="shared" si="363"/>
        <v>298.62798452078425</v>
      </c>
      <c r="HJ60" s="168">
        <f t="shared" si="364"/>
        <v>194.30993150684998</v>
      </c>
      <c r="HK60" s="168">
        <f t="shared" si="123"/>
        <v>0</v>
      </c>
      <c r="HL60" s="168">
        <f t="shared" si="124"/>
        <v>505.39343150685102</v>
      </c>
      <c r="HM60" s="157">
        <f>MAX(1.2*$GA$15*(GJ60-GG60)-GL60,0)</f>
        <v>645.54794520777398</v>
      </c>
      <c r="HN60" s="168">
        <f t="shared" si="365"/>
        <v>116.58595890415141</v>
      </c>
      <c r="HP60" s="168">
        <f t="shared" si="366"/>
        <v>138.52020000000047</v>
      </c>
      <c r="HQ60" s="168">
        <f t="shared" si="367"/>
        <v>126.06468452078366</v>
      </c>
      <c r="HR60" s="181"/>
      <c r="HU60" s="168">
        <f t="shared" ref="HU60:HV60" si="460">HU59</f>
        <v>2.5</v>
      </c>
      <c r="HV60" s="161">
        <f t="shared" si="460"/>
        <v>350</v>
      </c>
      <c r="HW60" s="161">
        <f t="shared" si="369"/>
        <v>525</v>
      </c>
      <c r="HX60" s="161">
        <f t="shared" si="370"/>
        <v>875</v>
      </c>
      <c r="HY60" s="161">
        <v>301.00000000000102</v>
      </c>
      <c r="HZ60" s="168">
        <f t="shared" si="371"/>
        <v>2.5</v>
      </c>
      <c r="IA60" s="161">
        <v>132.58142857142852</v>
      </c>
      <c r="IB60" s="161">
        <v>198.87214285714276</v>
      </c>
      <c r="IC60" s="161">
        <v>331.45357142857131</v>
      </c>
      <c r="ID60" s="168">
        <f t="shared" ref="ID60" si="461">ID59</f>
        <v>0.56785714285714284</v>
      </c>
      <c r="IE60" s="154">
        <f t="shared" si="130"/>
        <v>21</v>
      </c>
      <c r="IF60" s="154">
        <f t="shared" si="131"/>
        <v>14.5</v>
      </c>
      <c r="IG60" s="181">
        <f t="shared" si="373"/>
        <v>17.30892857142857</v>
      </c>
      <c r="IH60" s="181">
        <f t="shared" si="374"/>
        <v>18.608928571428571</v>
      </c>
      <c r="II60" s="181">
        <f t="shared" si="375"/>
        <v>14.5</v>
      </c>
      <c r="IJ60" s="181">
        <f t="shared" si="376"/>
        <v>23.82046271338724</v>
      </c>
      <c r="IK60" s="181">
        <f t="shared" si="377"/>
        <v>23.82046271338724</v>
      </c>
      <c r="IL60" s="181">
        <f t="shared" si="250"/>
        <v>0</v>
      </c>
      <c r="IM60" s="181">
        <f t="shared" si="137"/>
        <v>14.5</v>
      </c>
      <c r="IN60" s="157">
        <f t="shared" si="378"/>
        <v>261.32785714285723</v>
      </c>
      <c r="IO60" s="157">
        <f t="shared" si="139"/>
        <v>460.2</v>
      </c>
      <c r="IP60" s="157">
        <f t="shared" si="42"/>
        <v>0</v>
      </c>
      <c r="IQ60" s="157">
        <f t="shared" si="43"/>
        <v>198.87214285714276</v>
      </c>
      <c r="IR60" s="157">
        <f t="shared" si="140"/>
        <v>573.30000000000007</v>
      </c>
      <c r="IS60" s="157">
        <f t="shared" si="141"/>
        <v>1681.7361101315114</v>
      </c>
      <c r="IT60" s="157">
        <f t="shared" si="379"/>
        <v>772.17214285714283</v>
      </c>
      <c r="IU60" s="200">
        <f t="shared" si="380"/>
        <v>0.45915178856257011</v>
      </c>
      <c r="IV60" s="157">
        <f t="shared" si="381"/>
        <v>772.17214285714283</v>
      </c>
      <c r="IW60" s="157">
        <f t="shared" si="382"/>
        <v>645.54794520547944</v>
      </c>
      <c r="IX60" s="162">
        <f t="shared" si="146"/>
        <v>645.54794520547944</v>
      </c>
      <c r="IY60" s="157">
        <f t="shared" si="22"/>
        <v>645.54794520547944</v>
      </c>
      <c r="IZ60" s="157">
        <f t="shared" si="147"/>
        <v>198.87214285714276</v>
      </c>
      <c r="JA60" s="207">
        <f t="shared" si="383"/>
        <v>258.21917808219177</v>
      </c>
      <c r="JB60" s="207">
        <f t="shared" si="149"/>
        <v>132.58142857142852</v>
      </c>
      <c r="JC60" s="157">
        <f t="shared" si="150"/>
        <v>132.58142857142852</v>
      </c>
      <c r="JD60" s="157">
        <f t="shared" si="384"/>
        <v>198.87214285714276</v>
      </c>
      <c r="JE60" s="157">
        <f t="shared" si="385"/>
        <v>331.45357142857131</v>
      </c>
      <c r="JF60" s="168">
        <f t="shared" si="386"/>
        <v>39.90701000000012</v>
      </c>
      <c r="JG60" s="168">
        <f t="shared" si="387"/>
        <v>59.860515000000177</v>
      </c>
      <c r="JH60" s="168">
        <f t="shared" si="388"/>
        <v>99.767525000000305</v>
      </c>
      <c r="JI60" s="157">
        <f t="shared" si="156"/>
        <v>314.09437377690813</v>
      </c>
      <c r="JJ60" s="168">
        <f t="shared" si="389"/>
        <v>0</v>
      </c>
      <c r="JK60" s="168">
        <f t="shared" si="390"/>
        <v>232.42381500000079</v>
      </c>
      <c r="JL60" s="168">
        <f t="shared" si="391"/>
        <v>194.30993150684998</v>
      </c>
      <c r="JM60" s="168">
        <f t="shared" si="160"/>
        <v>94.542406506849673</v>
      </c>
      <c r="JN60" s="168">
        <f t="shared" si="161"/>
        <v>505.39343150685102</v>
      </c>
      <c r="JO60" s="157">
        <f t="shared" si="162"/>
        <v>0</v>
      </c>
      <c r="JP60" s="168">
        <f t="shared" si="392"/>
        <v>59.860515000000177</v>
      </c>
      <c r="JR60" s="168">
        <f t="shared" si="393"/>
        <v>138.52020000000047</v>
      </c>
      <c r="JS60" s="168">
        <f t="shared" si="394"/>
        <v>59.860515000000177</v>
      </c>
      <c r="JT60" s="181"/>
      <c r="JW60" s="168">
        <f t="shared" ref="JW60:JX60" si="462">JW59</f>
        <v>2.5</v>
      </c>
      <c r="JX60" s="161">
        <f t="shared" si="462"/>
        <v>350</v>
      </c>
      <c r="JY60" s="161">
        <f t="shared" si="396"/>
        <v>525</v>
      </c>
      <c r="JZ60" s="161">
        <f t="shared" si="397"/>
        <v>875</v>
      </c>
      <c r="KA60" s="161">
        <v>301.00000000000102</v>
      </c>
      <c r="KB60" s="168">
        <f t="shared" si="398"/>
        <v>2.5</v>
      </c>
      <c r="KC60" s="161">
        <v>132.58142857142852</v>
      </c>
      <c r="KD60" s="161">
        <v>198.87214285714276</v>
      </c>
      <c r="KE60" s="161">
        <v>331.45357142857131</v>
      </c>
      <c r="KF60" s="168">
        <f t="shared" ref="KF60" si="463">KF59</f>
        <v>0.56785714285714284</v>
      </c>
      <c r="KG60" s="154">
        <f t="shared" si="167"/>
        <v>21</v>
      </c>
      <c r="KH60" s="154">
        <f t="shared" si="168"/>
        <v>14.5</v>
      </c>
      <c r="KI60" s="181">
        <f t="shared" si="400"/>
        <v>17.30892857142857</v>
      </c>
      <c r="KJ60" s="181">
        <f t="shared" si="401"/>
        <v>18.608928571428571</v>
      </c>
      <c r="KK60" s="181">
        <f t="shared" si="402"/>
        <v>14.5</v>
      </c>
      <c r="KL60" s="181">
        <f t="shared" si="403"/>
        <v>18.608928571428571</v>
      </c>
      <c r="KM60" s="181">
        <f t="shared" si="404"/>
        <v>18.608928571428571</v>
      </c>
      <c r="KN60" s="181">
        <f t="shared" si="253"/>
        <v>0</v>
      </c>
      <c r="KO60" s="181">
        <f t="shared" si="174"/>
        <v>14.5</v>
      </c>
      <c r="KP60" s="157">
        <f t="shared" si="405"/>
        <v>261.32785714285723</v>
      </c>
      <c r="KQ60" s="157">
        <f t="shared" si="46"/>
        <v>460.2</v>
      </c>
      <c r="KR60" s="157">
        <f t="shared" si="406"/>
        <v>0</v>
      </c>
      <c r="KS60" s="157">
        <f t="shared" si="407"/>
        <v>198.87214285714276</v>
      </c>
      <c r="KT60" s="157">
        <f t="shared" si="178"/>
        <v>573.30000000000007</v>
      </c>
      <c r="KU60" s="157">
        <f t="shared" si="179"/>
        <v>1681.7361101315114</v>
      </c>
      <c r="KV60" s="157">
        <f t="shared" si="408"/>
        <v>772.17214285714283</v>
      </c>
      <c r="KW60" s="200">
        <f t="shared" si="409"/>
        <v>0.45915178856257011</v>
      </c>
      <c r="KX60" s="157">
        <f t="shared" si="410"/>
        <v>772.17214285714283</v>
      </c>
      <c r="KY60" s="157">
        <f t="shared" si="411"/>
        <v>645.54794520547944</v>
      </c>
      <c r="KZ60" s="162">
        <f t="shared" si="47"/>
        <v>645.54794520547944</v>
      </c>
      <c r="LA60" s="157">
        <f t="shared" si="184"/>
        <v>645.54794520547944</v>
      </c>
      <c r="LB60" s="157">
        <f t="shared" si="185"/>
        <v>198.87214285714276</v>
      </c>
      <c r="LC60" s="207">
        <f t="shared" si="412"/>
        <v>258.21917808219177</v>
      </c>
      <c r="LD60" s="207">
        <f t="shared" si="187"/>
        <v>132.58142857142852</v>
      </c>
      <c r="LE60" s="157">
        <f t="shared" si="188"/>
        <v>132.58142857142852</v>
      </c>
      <c r="LF60" s="157">
        <f t="shared" si="413"/>
        <v>198.87214285714276</v>
      </c>
      <c r="LG60" s="157">
        <f t="shared" si="414"/>
        <v>331.45357142857131</v>
      </c>
      <c r="LH60" s="168">
        <f t="shared" si="415"/>
        <v>39.90701000000012</v>
      </c>
      <c r="LI60" s="168">
        <f t="shared" si="416"/>
        <v>59.860515000000177</v>
      </c>
      <c r="LJ60" s="168">
        <f t="shared" si="417"/>
        <v>99.767525000000305</v>
      </c>
      <c r="LK60" s="157">
        <f t="shared" si="194"/>
        <v>314.09437377690813</v>
      </c>
      <c r="LL60" s="168">
        <f t="shared" si="418"/>
        <v>0</v>
      </c>
      <c r="LM60" s="168">
        <f t="shared" si="419"/>
        <v>232.42381500000079</v>
      </c>
      <c r="LN60" s="168">
        <f t="shared" si="420"/>
        <v>194.30993150684998</v>
      </c>
      <c r="LO60" s="168">
        <f t="shared" si="198"/>
        <v>94.542406506849673</v>
      </c>
      <c r="LP60" s="168">
        <f t="shared" si="199"/>
        <v>505.39343150685102</v>
      </c>
      <c r="LQ60" s="157">
        <f t="shared" si="200"/>
        <v>0</v>
      </c>
      <c r="LR60" s="168">
        <f t="shared" si="421"/>
        <v>59.860515000000177</v>
      </c>
      <c r="LT60" s="168">
        <f t="shared" si="422"/>
        <v>138.52020000000047</v>
      </c>
      <c r="LU60" s="168">
        <f t="shared" si="423"/>
        <v>59.860515000000177</v>
      </c>
      <c r="LV60" s="181"/>
      <c r="LY60" s="168">
        <f t="shared" ref="LY60:LZ60" si="464">LY59</f>
        <v>2.5</v>
      </c>
      <c r="LZ60" s="161">
        <f t="shared" si="464"/>
        <v>350</v>
      </c>
      <c r="MA60" s="161">
        <f t="shared" si="425"/>
        <v>525</v>
      </c>
      <c r="MB60" s="161">
        <f t="shared" si="426"/>
        <v>875</v>
      </c>
      <c r="MC60" s="161">
        <v>301.00000000000102</v>
      </c>
      <c r="MD60" s="168">
        <f t="shared" si="427"/>
        <v>2.5</v>
      </c>
      <c r="ME60" s="161">
        <v>258.21917808219177</v>
      </c>
      <c r="MF60" s="161">
        <v>387.32876712328766</v>
      </c>
      <c r="MG60" s="161">
        <v>645.54794520547944</v>
      </c>
      <c r="MH60" s="168">
        <f t="shared" ref="MH60" si="465">MH59</f>
        <v>0.56785714285714284</v>
      </c>
      <c r="MI60" s="154">
        <f t="shared" si="205"/>
        <v>21</v>
      </c>
      <c r="MJ60" s="181">
        <f t="shared" si="429"/>
        <v>15.52925470164848</v>
      </c>
      <c r="MK60" s="181">
        <f t="shared" si="430"/>
        <v>14.944785067498094</v>
      </c>
      <c r="ML60" s="154">
        <f t="shared" si="208"/>
        <v>14.5</v>
      </c>
      <c r="MM60" s="181">
        <f t="shared" si="431"/>
        <v>15.150636007827789</v>
      </c>
      <c r="MN60" s="181">
        <f t="shared" si="432"/>
        <v>15.150636007827789</v>
      </c>
      <c r="MO60" s="181">
        <f t="shared" si="433"/>
        <v>15.150636007827789</v>
      </c>
      <c r="MP60" s="181">
        <f t="shared" si="212"/>
        <v>14.5</v>
      </c>
      <c r="MQ60" s="157">
        <f t="shared" si="434"/>
        <v>41.380450097847316</v>
      </c>
      <c r="MR60" s="157">
        <f t="shared" si="213"/>
        <v>460.2</v>
      </c>
      <c r="MS60" s="157">
        <f t="shared" si="435"/>
        <v>0</v>
      </c>
      <c r="MT60" s="157">
        <f t="shared" si="436"/>
        <v>418.81954990215269</v>
      </c>
      <c r="MU60" s="157">
        <f t="shared" si="216"/>
        <v>573.30000000000007</v>
      </c>
      <c r="MV60" s="157">
        <f t="shared" si="217"/>
        <v>1681.7361101315114</v>
      </c>
      <c r="MW60" s="157">
        <f t="shared" si="437"/>
        <v>992.11954990215281</v>
      </c>
      <c r="MX60" s="200">
        <f t="shared" si="438"/>
        <v>0.58993771015868202</v>
      </c>
      <c r="MY60" s="157">
        <f t="shared" si="439"/>
        <v>992.11954990215293</v>
      </c>
      <c r="MZ60" s="157">
        <f t="shared" si="440"/>
        <v>645.54794520547944</v>
      </c>
      <c r="NA60" s="162">
        <f t="shared" si="222"/>
        <v>645.54794520547921</v>
      </c>
      <c r="NB60" s="157">
        <f t="shared" si="223"/>
        <v>645.54794520547921</v>
      </c>
      <c r="NC60" s="157">
        <f t="shared" si="224"/>
        <v>460.2</v>
      </c>
      <c r="ND60" s="207">
        <f t="shared" si="441"/>
        <v>258.21917808219166</v>
      </c>
      <c r="NE60" s="207">
        <f t="shared" si="225"/>
        <v>306.8</v>
      </c>
      <c r="NF60" s="157">
        <f t="shared" si="226"/>
        <v>258.21917808219166</v>
      </c>
      <c r="NG60" s="157">
        <f t="shared" si="442"/>
        <v>387.32876712328749</v>
      </c>
      <c r="NH60" s="157">
        <f t="shared" si="443"/>
        <v>645.54794520547921</v>
      </c>
      <c r="NI60" s="168">
        <f t="shared" si="444"/>
        <v>77.723972602739948</v>
      </c>
      <c r="NJ60" s="168">
        <f t="shared" si="445"/>
        <v>116.58595890410993</v>
      </c>
      <c r="NK60" s="168">
        <f t="shared" si="446"/>
        <v>194.30993150684989</v>
      </c>
      <c r="NL60" s="157">
        <f t="shared" si="230"/>
        <v>0</v>
      </c>
      <c r="NM60" s="168">
        <f t="shared" si="447"/>
        <v>0</v>
      </c>
      <c r="NN60" s="168">
        <f t="shared" si="448"/>
        <v>298.62798452054903</v>
      </c>
      <c r="NO60" s="168">
        <f t="shared" si="449"/>
        <v>194.30993150684989</v>
      </c>
      <c r="NP60" s="168">
        <f t="shared" si="234"/>
        <v>0</v>
      </c>
      <c r="NQ60" s="168">
        <f t="shared" si="235"/>
        <v>505.39343150685102</v>
      </c>
      <c r="NR60" s="157">
        <f t="shared" si="236"/>
        <v>0</v>
      </c>
      <c r="NS60" s="168">
        <f t="shared" si="450"/>
        <v>116.58595890410993</v>
      </c>
      <c r="NT60" s="157">
        <f t="shared" si="319"/>
        <v>1679.0479452054794</v>
      </c>
      <c r="NU60" s="168">
        <f t="shared" si="451"/>
        <v>138.52020000000047</v>
      </c>
      <c r="NV60" s="168">
        <f t="shared" si="452"/>
        <v>126.0646845205484</v>
      </c>
      <c r="NX60" s="157"/>
      <c r="NY60" s="157"/>
      <c r="NZ60" s="157"/>
      <c r="OA60" s="157"/>
      <c r="OB60" s="157"/>
    </row>
    <row r="61" spans="1:392" ht="13" x14ac:dyDescent="0.3">
      <c r="A61" s="154">
        <v>85.947488584474883</v>
      </c>
      <c r="B61" s="154">
        <v>15.5</v>
      </c>
      <c r="C61" s="154">
        <f t="shared" si="320"/>
        <v>15.5</v>
      </c>
      <c r="D61" s="154">
        <v>57081.19999999999</v>
      </c>
      <c r="E61" s="200">
        <f t="shared" si="332"/>
        <v>198.19861111111155</v>
      </c>
      <c r="F61" s="181">
        <f t="shared" si="333"/>
        <v>485.1</v>
      </c>
      <c r="G61" s="161">
        <f t="shared" si="334"/>
        <v>287.99999999999932</v>
      </c>
      <c r="H61" s="154">
        <f t="shared" si="55"/>
        <v>0.48510000000000003</v>
      </c>
      <c r="I61" s="161">
        <f t="shared" si="56"/>
        <v>1583.9999999999964</v>
      </c>
      <c r="J61" s="181">
        <f t="shared" si="57"/>
        <v>21</v>
      </c>
      <c r="K61" s="181">
        <f t="shared" si="58"/>
        <v>15.529254701648478</v>
      </c>
      <c r="L61" s="181">
        <f t="shared" si="59"/>
        <v>15.512642210355235</v>
      </c>
      <c r="M61" s="181">
        <f t="shared" si="60"/>
        <v>15.5</v>
      </c>
      <c r="N61" s="181">
        <f t="shared" si="61"/>
        <v>15.518493150684931</v>
      </c>
      <c r="O61" s="181">
        <f t="shared" si="62"/>
        <v>15.518493150684931</v>
      </c>
      <c r="P61" s="181">
        <f t="shared" si="63"/>
        <v>15.518493150684931</v>
      </c>
      <c r="Q61" s="181">
        <f t="shared" si="64"/>
        <v>19.578543120530714</v>
      </c>
      <c r="R61" s="168">
        <f t="shared" si="65"/>
        <v>185.91780821917766</v>
      </c>
      <c r="S61" s="161">
        <f t="shared" si="66"/>
        <v>186.25654356164347</v>
      </c>
      <c r="T61" s="161">
        <f t="shared" si="67"/>
        <v>39.40012492461446</v>
      </c>
      <c r="U61" s="161">
        <f t="shared" si="68"/>
        <v>25.668618075299392</v>
      </c>
      <c r="V61" s="154">
        <f t="shared" si="69"/>
        <v>0</v>
      </c>
      <c r="W61" s="154">
        <f t="shared" si="70"/>
        <v>0</v>
      </c>
      <c r="X61" s="154">
        <f t="shared" si="71"/>
        <v>0.64672410958904136</v>
      </c>
      <c r="Y61" s="154">
        <f t="shared" si="72"/>
        <v>1.5200479452054796</v>
      </c>
      <c r="Z61" s="154">
        <f t="shared" si="321"/>
        <v>0.38939999999999997</v>
      </c>
      <c r="AA61" s="154">
        <f t="shared" si="322"/>
        <v>0.87332383561643823</v>
      </c>
      <c r="AB61" s="154">
        <f t="shared" si="323"/>
        <v>0.64554794520547953</v>
      </c>
      <c r="AC61" s="154">
        <f t="shared" si="324"/>
        <v>0.64554794520547942</v>
      </c>
      <c r="AD61" s="154">
        <f t="shared" si="325"/>
        <v>0.25821917808219186</v>
      </c>
      <c r="AE61" s="154">
        <f t="shared" si="326"/>
        <v>0.38732876712328779</v>
      </c>
      <c r="AF61" s="154">
        <f t="shared" si="327"/>
        <v>0.64554794520547953</v>
      </c>
      <c r="AG61" s="154">
        <f t="shared" si="75"/>
        <v>1.1761643835615919E-3</v>
      </c>
      <c r="AH61" s="154">
        <f t="shared" si="76"/>
        <v>0.64672410958904114</v>
      </c>
      <c r="AI61" s="154">
        <f t="shared" si="77"/>
        <v>0.58732876712328763</v>
      </c>
      <c r="AJ61" s="154">
        <f t="shared" si="78"/>
        <v>5.8219178082191785E-2</v>
      </c>
      <c r="AK61" s="154">
        <f t="shared" si="79"/>
        <v>0</v>
      </c>
      <c r="AL61" s="161">
        <f t="shared" si="80"/>
        <v>587.32876712328766</v>
      </c>
      <c r="AM61" s="161">
        <f t="shared" si="81"/>
        <v>58.219178082191782</v>
      </c>
      <c r="AN61" s="161">
        <f t="shared" si="82"/>
        <v>0</v>
      </c>
      <c r="AO61" s="161"/>
      <c r="AP61" s="154">
        <f t="shared" si="83"/>
        <v>0.64554794520547942</v>
      </c>
      <c r="AQ61" s="154">
        <f t="shared" si="84"/>
        <v>0.64554794520547942</v>
      </c>
      <c r="AR61" s="154">
        <f t="shared" si="85"/>
        <v>0.64672410958904114</v>
      </c>
      <c r="AS61" s="161"/>
      <c r="AT61" s="161"/>
      <c r="AU61" s="161"/>
      <c r="AV61" s="161"/>
      <c r="AW61" s="181"/>
      <c r="AX61" s="181"/>
      <c r="AY61" s="181"/>
      <c r="AZ61" s="181"/>
      <c r="BA61" s="181"/>
      <c r="BB61" s="161"/>
      <c r="BC61" s="161"/>
      <c r="BD61" s="161"/>
      <c r="BE61" s="181"/>
      <c r="BF61" s="168"/>
      <c r="BG61" s="181"/>
      <c r="BH61" s="168"/>
      <c r="BI61" s="168"/>
      <c r="BJ61" s="161"/>
      <c r="BK61" s="168"/>
      <c r="BL61" s="168"/>
      <c r="BM61" s="168"/>
      <c r="BN61" s="168"/>
      <c r="BO61" s="168">
        <f t="shared" si="335"/>
        <v>169.15068493150645</v>
      </c>
      <c r="BP61" s="168">
        <f t="shared" si="336"/>
        <v>16.767123287671193</v>
      </c>
      <c r="BQ61" s="168">
        <f t="shared" si="337"/>
        <v>0</v>
      </c>
      <c r="BR61" s="181"/>
      <c r="BS61" s="161"/>
      <c r="BT61" s="168"/>
      <c r="BU61" s="161"/>
      <c r="BV61" s="161"/>
      <c r="BW61" s="161"/>
      <c r="BX61" s="161"/>
      <c r="CB61" s="181">
        <f t="shared" si="453"/>
        <v>181.74842353823126</v>
      </c>
      <c r="CC61" s="181">
        <f t="shared" si="453"/>
        <v>0</v>
      </c>
      <c r="CD61" s="181">
        <f t="shared" si="453"/>
        <v>212.4298359726391</v>
      </c>
      <c r="CE61" s="181">
        <f t="shared" si="453"/>
        <v>0</v>
      </c>
      <c r="CF61" s="181">
        <f t="shared" si="453"/>
        <v>706.63302123938172</v>
      </c>
      <c r="CG61" s="181">
        <f t="shared" si="453"/>
        <v>0</v>
      </c>
      <c r="CH61" s="181">
        <f t="shared" si="453"/>
        <v>212.70752203273409</v>
      </c>
      <c r="CI61" s="181">
        <f t="shared" si="453"/>
        <v>0</v>
      </c>
      <c r="CJ61" s="182">
        <f t="shared" si="338"/>
        <v>1313.5188027829861</v>
      </c>
      <c r="CK61" s="161">
        <f t="shared" si="339"/>
        <v>1313.5188027829861</v>
      </c>
      <c r="CL61" s="161">
        <f t="shared" si="243"/>
        <v>529.19999999999993</v>
      </c>
      <c r="CM61" s="182">
        <f t="shared" si="340"/>
        <v>1842.7188027829861</v>
      </c>
      <c r="CN61" s="157">
        <f t="shared" si="341"/>
        <v>378.29341520149904</v>
      </c>
      <c r="CO61" s="162">
        <f t="shared" si="342"/>
        <v>1842.7188027829861</v>
      </c>
      <c r="FT61" s="168">
        <f t="shared" si="244"/>
        <v>2.5</v>
      </c>
      <c r="FU61" s="161">
        <f t="shared" si="245"/>
        <v>350</v>
      </c>
      <c r="FV61" s="161">
        <f t="shared" si="343"/>
        <v>525</v>
      </c>
      <c r="FW61" s="161">
        <f t="shared" si="344"/>
        <v>875</v>
      </c>
      <c r="FX61" s="161">
        <v>302.00000000000102</v>
      </c>
      <c r="FY61" s="168">
        <f t="shared" si="345"/>
        <v>2.5</v>
      </c>
      <c r="FZ61" s="161">
        <v>258.21917808310963</v>
      </c>
      <c r="GA61" s="161">
        <v>387.32876712466441</v>
      </c>
      <c r="GB61" s="161">
        <v>645.54794520777409</v>
      </c>
      <c r="GC61" s="168">
        <f t="shared" si="246"/>
        <v>0.56785714285714284</v>
      </c>
      <c r="GD61" s="154">
        <f t="shared" si="97"/>
        <v>21</v>
      </c>
      <c r="GE61" s="181">
        <f t="shared" si="346"/>
        <v>15.529254701629034</v>
      </c>
      <c r="GF61" s="181">
        <f t="shared" si="347"/>
        <v>15.512642210346833</v>
      </c>
      <c r="GG61" s="154">
        <f t="shared" si="99"/>
        <v>15.5</v>
      </c>
      <c r="GH61" s="181">
        <f t="shared" si="348"/>
        <v>15.518493150672638</v>
      </c>
      <c r="GI61" s="181">
        <f t="shared" si="349"/>
        <v>25.668618075323174</v>
      </c>
      <c r="GJ61" s="181">
        <f t="shared" si="102"/>
        <v>25.668618075323174</v>
      </c>
      <c r="GK61" s="181">
        <f t="shared" si="103"/>
        <v>15.5</v>
      </c>
      <c r="GL61" s="157">
        <f t="shared" si="350"/>
        <v>1.1761643827798303</v>
      </c>
      <c r="GM61" s="157">
        <f t="shared" si="105"/>
        <v>389.4</v>
      </c>
      <c r="GN61" s="157">
        <f t="shared" si="106"/>
        <v>0</v>
      </c>
      <c r="GO61" s="157">
        <f t="shared" si="107"/>
        <v>388.22383561722017</v>
      </c>
      <c r="GP61" s="157">
        <f t="shared" si="108"/>
        <v>485.1</v>
      </c>
      <c r="GQ61" s="157">
        <f t="shared" si="109"/>
        <v>1842.7188027829861</v>
      </c>
      <c r="GR61" s="157">
        <f t="shared" si="351"/>
        <v>873.3238356172202</v>
      </c>
      <c r="GS61" s="200">
        <f t="shared" si="352"/>
        <v>0.47393223225283931</v>
      </c>
      <c r="GT61" s="157">
        <f t="shared" si="353"/>
        <v>873.3238356172202</v>
      </c>
      <c r="GU61" s="157">
        <f t="shared" si="354"/>
        <v>645.54794520547944</v>
      </c>
      <c r="GV61" s="162">
        <f t="shared" si="114"/>
        <v>645.54794520547944</v>
      </c>
      <c r="GW61" s="157">
        <f t="shared" si="355"/>
        <v>645.54794520547944</v>
      </c>
      <c r="GX61" s="157">
        <f t="shared" si="247"/>
        <v>389.4</v>
      </c>
      <c r="GY61" s="207">
        <f t="shared" si="356"/>
        <v>258.21917808219177</v>
      </c>
      <c r="GZ61" s="207">
        <f t="shared" si="116"/>
        <v>259.59999999999997</v>
      </c>
      <c r="HA61" s="157">
        <f t="shared" si="117"/>
        <v>258.21917808228352</v>
      </c>
      <c r="HB61" s="157">
        <f t="shared" si="357"/>
        <v>387.32876712342528</v>
      </c>
      <c r="HC61" s="157">
        <f t="shared" si="358"/>
        <v>645.54794520570886</v>
      </c>
      <c r="HD61" s="168">
        <f t="shared" si="359"/>
        <v>77.982191780849888</v>
      </c>
      <c r="HE61" s="168">
        <f t="shared" si="360"/>
        <v>116.97328767127483</v>
      </c>
      <c r="HF61" s="168">
        <f t="shared" si="361"/>
        <v>194.95547945212476</v>
      </c>
      <c r="HG61" s="157">
        <f t="shared" si="119"/>
        <v>-2.2942003852222115E-10</v>
      </c>
      <c r="HH61" s="168">
        <f t="shared" si="362"/>
        <v>0</v>
      </c>
      <c r="HI61" s="168">
        <f t="shared" si="363"/>
        <v>263.74379835640138</v>
      </c>
      <c r="HJ61" s="168">
        <f t="shared" si="364"/>
        <v>194.95547945205544</v>
      </c>
      <c r="HK61" s="168">
        <f t="shared" si="123"/>
        <v>0</v>
      </c>
      <c r="HL61" s="168">
        <f t="shared" si="124"/>
        <v>459.05447945205634</v>
      </c>
      <c r="HM61" s="157">
        <f t="shared" si="125"/>
        <v>645.54794520777398</v>
      </c>
      <c r="HN61" s="168">
        <f t="shared" si="365"/>
        <v>116.97328767127483</v>
      </c>
      <c r="HP61" s="168">
        <f t="shared" si="366"/>
        <v>117.5988000000004</v>
      </c>
      <c r="HQ61" s="168">
        <f t="shared" si="367"/>
        <v>117.24359835640089</v>
      </c>
      <c r="HR61" s="181"/>
      <c r="HU61" s="168">
        <f t="shared" ref="HU61:HV61" si="466">HU60</f>
        <v>2.5</v>
      </c>
      <c r="HV61" s="161">
        <f t="shared" si="466"/>
        <v>350</v>
      </c>
      <c r="HW61" s="161">
        <f t="shared" si="369"/>
        <v>525</v>
      </c>
      <c r="HX61" s="161">
        <f t="shared" si="370"/>
        <v>875</v>
      </c>
      <c r="HY61" s="161">
        <v>302.00000000000102</v>
      </c>
      <c r="HZ61" s="168">
        <f t="shared" si="371"/>
        <v>2.5</v>
      </c>
      <c r="IA61" s="161">
        <v>112.18428571428565</v>
      </c>
      <c r="IB61" s="161">
        <v>168.27642857142848</v>
      </c>
      <c r="IC61" s="161">
        <v>280.46071428571412</v>
      </c>
      <c r="ID61" s="168">
        <f t="shared" ref="ID61" si="467">ID60</f>
        <v>0.56785714285714284</v>
      </c>
      <c r="IE61" s="154">
        <f t="shared" si="130"/>
        <v>21</v>
      </c>
      <c r="IF61" s="154">
        <f t="shared" si="131"/>
        <v>15.5</v>
      </c>
      <c r="IG61" s="181">
        <f t="shared" si="373"/>
        <v>17.876785714285713</v>
      </c>
      <c r="IH61" s="181">
        <f t="shared" si="374"/>
        <v>18.976785714285715</v>
      </c>
      <c r="II61" s="181">
        <f t="shared" si="375"/>
        <v>15.5</v>
      </c>
      <c r="IJ61" s="181">
        <f t="shared" si="376"/>
        <v>23.386545372866124</v>
      </c>
      <c r="IK61" s="181">
        <f t="shared" si="377"/>
        <v>23.386545372866124</v>
      </c>
      <c r="IL61" s="181">
        <f t="shared" si="250"/>
        <v>0</v>
      </c>
      <c r="IM61" s="181">
        <f t="shared" si="137"/>
        <v>15.5</v>
      </c>
      <c r="IN61" s="157">
        <f t="shared" si="378"/>
        <v>221.12357142857149</v>
      </c>
      <c r="IO61" s="157">
        <f t="shared" si="139"/>
        <v>389.4</v>
      </c>
      <c r="IP61" s="157">
        <f t="shared" si="42"/>
        <v>0</v>
      </c>
      <c r="IQ61" s="157">
        <f t="shared" si="43"/>
        <v>168.27642857142848</v>
      </c>
      <c r="IR61" s="157">
        <f t="shared" si="140"/>
        <v>485.1</v>
      </c>
      <c r="IS61" s="157">
        <f t="shared" si="141"/>
        <v>1842.7188027829861</v>
      </c>
      <c r="IT61" s="157">
        <f t="shared" si="379"/>
        <v>653.37642857142851</v>
      </c>
      <c r="IU61" s="200">
        <f t="shared" si="380"/>
        <v>0.35457196593677753</v>
      </c>
      <c r="IV61" s="157">
        <f t="shared" si="381"/>
        <v>653.37642857142839</v>
      </c>
      <c r="IW61" s="157">
        <f t="shared" si="382"/>
        <v>645.54794520547944</v>
      </c>
      <c r="IX61" s="162">
        <f t="shared" si="146"/>
        <v>645.54794520547955</v>
      </c>
      <c r="IY61" s="157">
        <f t="shared" si="22"/>
        <v>645.54794520547955</v>
      </c>
      <c r="IZ61" s="157">
        <f t="shared" si="147"/>
        <v>168.27642857142848</v>
      </c>
      <c r="JA61" s="207">
        <f t="shared" si="383"/>
        <v>258.21917808219183</v>
      </c>
      <c r="JB61" s="207">
        <f t="shared" si="149"/>
        <v>112.18428571428565</v>
      </c>
      <c r="JC61" s="157">
        <f t="shared" si="150"/>
        <v>112.18428571428565</v>
      </c>
      <c r="JD61" s="157">
        <f t="shared" si="384"/>
        <v>168.27642857142848</v>
      </c>
      <c r="JE61" s="157">
        <f t="shared" si="385"/>
        <v>280.46071428571412</v>
      </c>
      <c r="JF61" s="168">
        <f t="shared" si="386"/>
        <v>33.879654285714381</v>
      </c>
      <c r="JG61" s="168">
        <f t="shared" si="387"/>
        <v>50.819481428571578</v>
      </c>
      <c r="JH61" s="168">
        <f t="shared" si="388"/>
        <v>84.699135714285944</v>
      </c>
      <c r="JI61" s="157">
        <f t="shared" si="156"/>
        <v>365.08723091976543</v>
      </c>
      <c r="JJ61" s="168">
        <f t="shared" si="389"/>
        <v>0</v>
      </c>
      <c r="JK61" s="168">
        <f t="shared" si="390"/>
        <v>197.31968142857204</v>
      </c>
      <c r="JL61" s="168">
        <f t="shared" si="391"/>
        <v>194.95547945205547</v>
      </c>
      <c r="JM61" s="168">
        <f t="shared" si="160"/>
        <v>110.25634373776953</v>
      </c>
      <c r="JN61" s="168">
        <f t="shared" si="161"/>
        <v>459.05447945205634</v>
      </c>
      <c r="JO61" s="157">
        <f t="shared" si="162"/>
        <v>0</v>
      </c>
      <c r="JP61" s="168">
        <f t="shared" si="392"/>
        <v>50.819481428571578</v>
      </c>
      <c r="JR61" s="168">
        <f t="shared" si="393"/>
        <v>117.5988000000004</v>
      </c>
      <c r="JS61" s="168">
        <f t="shared" si="394"/>
        <v>50.819481428571578</v>
      </c>
      <c r="JT61" s="181"/>
      <c r="JW61" s="168">
        <f t="shared" ref="JW61:JX61" si="468">JW60</f>
        <v>2.5</v>
      </c>
      <c r="JX61" s="161">
        <f t="shared" si="468"/>
        <v>350</v>
      </c>
      <c r="JY61" s="161">
        <f t="shared" si="396"/>
        <v>525</v>
      </c>
      <c r="JZ61" s="161">
        <f t="shared" si="397"/>
        <v>875</v>
      </c>
      <c r="KA61" s="161">
        <v>302.00000000000102</v>
      </c>
      <c r="KB61" s="168">
        <f t="shared" si="398"/>
        <v>2.5</v>
      </c>
      <c r="KC61" s="161">
        <v>112.18428571428565</v>
      </c>
      <c r="KD61" s="161">
        <v>168.27642857142848</v>
      </c>
      <c r="KE61" s="161">
        <v>280.46071428571412</v>
      </c>
      <c r="KF61" s="168">
        <f t="shared" ref="KF61" si="469">KF60</f>
        <v>0.56785714285714284</v>
      </c>
      <c r="KG61" s="154">
        <f t="shared" si="167"/>
        <v>21</v>
      </c>
      <c r="KH61" s="154">
        <f t="shared" si="168"/>
        <v>15.5</v>
      </c>
      <c r="KI61" s="181">
        <f t="shared" si="400"/>
        <v>17.876785714285713</v>
      </c>
      <c r="KJ61" s="181">
        <f t="shared" si="401"/>
        <v>18.976785714285715</v>
      </c>
      <c r="KK61" s="181">
        <f t="shared" si="402"/>
        <v>15.5</v>
      </c>
      <c r="KL61" s="181">
        <f t="shared" si="403"/>
        <v>18.976785714285715</v>
      </c>
      <c r="KM61" s="181">
        <f t="shared" si="404"/>
        <v>18.976785714285715</v>
      </c>
      <c r="KN61" s="181">
        <f t="shared" si="253"/>
        <v>0</v>
      </c>
      <c r="KO61" s="181">
        <f t="shared" si="174"/>
        <v>15.5</v>
      </c>
      <c r="KP61" s="157">
        <f t="shared" si="405"/>
        <v>221.12357142857149</v>
      </c>
      <c r="KQ61" s="157">
        <f t="shared" si="46"/>
        <v>389.4</v>
      </c>
      <c r="KR61" s="157">
        <f t="shared" si="406"/>
        <v>0</v>
      </c>
      <c r="KS61" s="157">
        <f t="shared" si="407"/>
        <v>168.27642857142848</v>
      </c>
      <c r="KT61" s="157">
        <f t="shared" si="178"/>
        <v>485.1</v>
      </c>
      <c r="KU61" s="157">
        <f t="shared" si="179"/>
        <v>1842.7188027829861</v>
      </c>
      <c r="KV61" s="157">
        <f t="shared" si="408"/>
        <v>653.37642857142851</v>
      </c>
      <c r="KW61" s="200">
        <f t="shared" si="409"/>
        <v>0.35457196593677753</v>
      </c>
      <c r="KX61" s="157">
        <f t="shared" si="410"/>
        <v>653.37642857142839</v>
      </c>
      <c r="KY61" s="157">
        <f t="shared" si="411"/>
        <v>645.54794520547944</v>
      </c>
      <c r="KZ61" s="162">
        <f t="shared" si="47"/>
        <v>645.54794520547955</v>
      </c>
      <c r="LA61" s="157">
        <f t="shared" si="184"/>
        <v>645.54794520547955</v>
      </c>
      <c r="LB61" s="157">
        <f t="shared" si="185"/>
        <v>168.27642857142848</v>
      </c>
      <c r="LC61" s="207">
        <f t="shared" si="412"/>
        <v>258.21917808219183</v>
      </c>
      <c r="LD61" s="207">
        <f t="shared" si="187"/>
        <v>112.18428571428565</v>
      </c>
      <c r="LE61" s="157">
        <f t="shared" si="188"/>
        <v>112.18428571428565</v>
      </c>
      <c r="LF61" s="157">
        <f t="shared" si="413"/>
        <v>168.27642857142848</v>
      </c>
      <c r="LG61" s="157">
        <f t="shared" si="414"/>
        <v>280.46071428571412</v>
      </c>
      <c r="LH61" s="168">
        <f t="shared" si="415"/>
        <v>33.879654285714381</v>
      </c>
      <c r="LI61" s="168">
        <f t="shared" si="416"/>
        <v>50.819481428571578</v>
      </c>
      <c r="LJ61" s="168">
        <f t="shared" si="417"/>
        <v>84.699135714285944</v>
      </c>
      <c r="LK61" s="157">
        <f t="shared" si="194"/>
        <v>365.08723091976543</v>
      </c>
      <c r="LL61" s="168">
        <f t="shared" si="418"/>
        <v>0</v>
      </c>
      <c r="LM61" s="168">
        <f t="shared" si="419"/>
        <v>197.31968142857204</v>
      </c>
      <c r="LN61" s="168">
        <f t="shared" si="420"/>
        <v>194.95547945205547</v>
      </c>
      <c r="LO61" s="168">
        <f t="shared" si="198"/>
        <v>110.25634373776953</v>
      </c>
      <c r="LP61" s="168">
        <f t="shared" si="199"/>
        <v>459.05447945205634</v>
      </c>
      <c r="LQ61" s="157">
        <f t="shared" si="200"/>
        <v>0</v>
      </c>
      <c r="LR61" s="168">
        <f t="shared" si="421"/>
        <v>50.819481428571578</v>
      </c>
      <c r="LT61" s="168">
        <f t="shared" si="422"/>
        <v>117.5988000000004</v>
      </c>
      <c r="LU61" s="168">
        <f t="shared" si="423"/>
        <v>50.819481428571578</v>
      </c>
      <c r="LV61" s="181"/>
      <c r="LY61" s="168">
        <f t="shared" ref="LY61:LZ61" si="470">LY60</f>
        <v>2.5</v>
      </c>
      <c r="LZ61" s="161">
        <f t="shared" si="470"/>
        <v>350</v>
      </c>
      <c r="MA61" s="161">
        <f t="shared" si="425"/>
        <v>525</v>
      </c>
      <c r="MB61" s="161">
        <f t="shared" si="426"/>
        <v>875</v>
      </c>
      <c r="MC61" s="161">
        <v>302.00000000000102</v>
      </c>
      <c r="MD61" s="168">
        <f t="shared" si="427"/>
        <v>2.5</v>
      </c>
      <c r="ME61" s="161">
        <v>258.21917808219183</v>
      </c>
      <c r="MF61" s="161">
        <v>387.32876712328778</v>
      </c>
      <c r="MG61" s="161">
        <v>645.54794520547955</v>
      </c>
      <c r="MH61" s="168">
        <f t="shared" ref="MH61" si="471">MH60</f>
        <v>0.56785714285714284</v>
      </c>
      <c r="MI61" s="154">
        <f t="shared" si="205"/>
        <v>21</v>
      </c>
      <c r="MJ61" s="181">
        <f t="shared" si="429"/>
        <v>15.529254701648478</v>
      </c>
      <c r="MK61" s="181">
        <f t="shared" si="430"/>
        <v>15.512642210355235</v>
      </c>
      <c r="ML61" s="154">
        <f t="shared" si="208"/>
        <v>15.5</v>
      </c>
      <c r="MM61" s="181">
        <f t="shared" si="431"/>
        <v>15.518493150684931</v>
      </c>
      <c r="MN61" s="181">
        <f t="shared" si="432"/>
        <v>15.518493150684931</v>
      </c>
      <c r="MO61" s="181">
        <f t="shared" si="433"/>
        <v>15.518493150684931</v>
      </c>
      <c r="MP61" s="181">
        <f t="shared" si="212"/>
        <v>15.5</v>
      </c>
      <c r="MQ61" s="157">
        <f t="shared" si="434"/>
        <v>1.176164383561592</v>
      </c>
      <c r="MR61" s="157">
        <f t="shared" si="213"/>
        <v>389.4</v>
      </c>
      <c r="MS61" s="157">
        <f t="shared" si="435"/>
        <v>0</v>
      </c>
      <c r="MT61" s="157">
        <f t="shared" si="436"/>
        <v>388.22383561643841</v>
      </c>
      <c r="MU61" s="157">
        <f t="shared" si="216"/>
        <v>485.1</v>
      </c>
      <c r="MV61" s="157">
        <f t="shared" si="217"/>
        <v>1842.7188027829861</v>
      </c>
      <c r="MW61" s="157">
        <f t="shared" si="437"/>
        <v>873.32383561643837</v>
      </c>
      <c r="MX61" s="200">
        <f t="shared" si="438"/>
        <v>0.47393223225241499</v>
      </c>
      <c r="MY61" s="157">
        <f t="shared" si="439"/>
        <v>873.32383561643826</v>
      </c>
      <c r="MZ61" s="157">
        <f t="shared" si="440"/>
        <v>645.54794520547944</v>
      </c>
      <c r="NA61" s="162">
        <f t="shared" si="222"/>
        <v>645.54794520547955</v>
      </c>
      <c r="NB61" s="157">
        <f t="shared" si="223"/>
        <v>645.54794520547955</v>
      </c>
      <c r="NC61" s="157">
        <f t="shared" si="224"/>
        <v>389.4</v>
      </c>
      <c r="ND61" s="207">
        <f t="shared" si="441"/>
        <v>258.21917808219183</v>
      </c>
      <c r="NE61" s="207">
        <f t="shared" si="225"/>
        <v>259.59999999999997</v>
      </c>
      <c r="NF61" s="157">
        <f t="shared" si="226"/>
        <v>258.21917808219183</v>
      </c>
      <c r="NG61" s="157">
        <f t="shared" si="442"/>
        <v>387.32876712328778</v>
      </c>
      <c r="NH61" s="157">
        <f t="shared" si="443"/>
        <v>645.54794520547955</v>
      </c>
      <c r="NI61" s="168">
        <f t="shared" si="444"/>
        <v>77.982191780822205</v>
      </c>
      <c r="NJ61" s="168">
        <f t="shared" si="445"/>
        <v>116.97328767123331</v>
      </c>
      <c r="NK61" s="168">
        <f t="shared" si="446"/>
        <v>194.95547945205547</v>
      </c>
      <c r="NL61" s="157">
        <f t="shared" si="230"/>
        <v>0</v>
      </c>
      <c r="NM61" s="168">
        <f t="shared" si="447"/>
        <v>0</v>
      </c>
      <c r="NN61" s="168">
        <f t="shared" si="448"/>
        <v>263.74379835616526</v>
      </c>
      <c r="NO61" s="168">
        <f t="shared" si="449"/>
        <v>194.95547945205547</v>
      </c>
      <c r="NP61" s="168">
        <f t="shared" si="234"/>
        <v>0</v>
      </c>
      <c r="NQ61" s="168">
        <f t="shared" si="235"/>
        <v>459.05447945205634</v>
      </c>
      <c r="NR61" s="157">
        <f t="shared" si="236"/>
        <v>0</v>
      </c>
      <c r="NS61" s="168">
        <f t="shared" si="450"/>
        <v>116.97328767123331</v>
      </c>
      <c r="NT61" s="157">
        <f t="shared" si="319"/>
        <v>1520.0479452054794</v>
      </c>
      <c r="NU61" s="168">
        <f t="shared" si="451"/>
        <v>117.5988000000004</v>
      </c>
      <c r="NV61" s="168">
        <f t="shared" si="452"/>
        <v>117.2435983561648</v>
      </c>
      <c r="NX61" s="157"/>
      <c r="NY61" s="157"/>
      <c r="NZ61" s="157"/>
      <c r="OA61" s="157"/>
      <c r="OB61" s="157"/>
    </row>
    <row r="62" spans="1:392" ht="13" x14ac:dyDescent="0.3">
      <c r="A62" s="154">
        <v>89.292237442922371</v>
      </c>
      <c r="B62" s="154">
        <v>16.5</v>
      </c>
      <c r="C62" s="154">
        <f t="shared" si="320"/>
        <v>16.5</v>
      </c>
      <c r="D62" s="154">
        <v>70692.699999999983</v>
      </c>
      <c r="E62" s="200">
        <f t="shared" si="332"/>
        <v>241.27201365187707</v>
      </c>
      <c r="F62" s="181">
        <f t="shared" si="333"/>
        <v>396.90000000000003</v>
      </c>
      <c r="G62" s="161">
        <f t="shared" si="334"/>
        <v>293</v>
      </c>
      <c r="H62" s="154">
        <f t="shared" si="55"/>
        <v>0.39690000000000003</v>
      </c>
      <c r="I62" s="161">
        <f t="shared" si="56"/>
        <v>1318.5</v>
      </c>
      <c r="J62" s="181">
        <f t="shared" si="57"/>
        <v>21</v>
      </c>
      <c r="K62" s="181">
        <f t="shared" si="58"/>
        <v>16.5</v>
      </c>
      <c r="L62" s="181">
        <f t="shared" si="59"/>
        <v>16.5</v>
      </c>
      <c r="M62" s="181">
        <f t="shared" si="60"/>
        <v>16.5</v>
      </c>
      <c r="N62" s="181">
        <f t="shared" si="61"/>
        <v>16.5</v>
      </c>
      <c r="O62" s="181">
        <f t="shared" si="62"/>
        <v>16.5</v>
      </c>
      <c r="P62" s="181">
        <f t="shared" si="63"/>
        <v>16.5</v>
      </c>
      <c r="Q62" s="181">
        <f t="shared" si="64"/>
        <v>19.839622641509433</v>
      </c>
      <c r="R62" s="168">
        <f t="shared" si="65"/>
        <v>155.583</v>
      </c>
      <c r="S62" s="161">
        <f t="shared" si="66"/>
        <v>189.14554794520546</v>
      </c>
      <c r="T62" s="161">
        <f t="shared" si="67"/>
        <v>37.90012492461446</v>
      </c>
      <c r="U62" s="161">
        <f t="shared" si="68"/>
        <v>26.65012492461446</v>
      </c>
      <c r="V62" s="154">
        <f t="shared" si="69"/>
        <v>0</v>
      </c>
      <c r="W62" s="154">
        <f t="shared" si="70"/>
        <v>0.11454794520547928</v>
      </c>
      <c r="X62" s="154">
        <f t="shared" si="71"/>
        <v>0.64554794520547942</v>
      </c>
      <c r="Y62" s="154">
        <f t="shared" si="72"/>
        <v>1.3610479452054793</v>
      </c>
      <c r="Z62" s="154">
        <f t="shared" si="321"/>
        <v>0.31859999999999994</v>
      </c>
      <c r="AA62" s="154">
        <f t="shared" si="322"/>
        <v>0.71550000000000002</v>
      </c>
      <c r="AB62" s="154">
        <f t="shared" si="323"/>
        <v>0.64554794520547942</v>
      </c>
      <c r="AC62" s="154">
        <f t="shared" si="324"/>
        <v>0.64554794520547942</v>
      </c>
      <c r="AD62" s="154">
        <f t="shared" si="325"/>
        <v>0.21239999999999998</v>
      </c>
      <c r="AE62" s="154">
        <f t="shared" si="326"/>
        <v>0.31859999999999994</v>
      </c>
      <c r="AF62" s="154">
        <f t="shared" si="327"/>
        <v>0.53100000000000003</v>
      </c>
      <c r="AG62" s="154">
        <f t="shared" si="75"/>
        <v>0</v>
      </c>
      <c r="AH62" s="154">
        <f t="shared" si="76"/>
        <v>0.53100000000000003</v>
      </c>
      <c r="AI62" s="154">
        <f t="shared" si="77"/>
        <v>0.58732876712328763</v>
      </c>
      <c r="AJ62" s="154">
        <f t="shared" si="78"/>
        <v>5.8219178082191785E-2</v>
      </c>
      <c r="AK62" s="154">
        <f t="shared" si="79"/>
        <v>0</v>
      </c>
      <c r="AL62" s="161">
        <f t="shared" si="80"/>
        <v>587.32876712328766</v>
      </c>
      <c r="AM62" s="161">
        <f t="shared" si="81"/>
        <v>58.219178082191782</v>
      </c>
      <c r="AN62" s="161">
        <f t="shared" si="82"/>
        <v>0</v>
      </c>
      <c r="AO62" s="161"/>
      <c r="AP62" s="154">
        <f t="shared" si="83"/>
        <v>0.64554794520547942</v>
      </c>
      <c r="AQ62" s="154">
        <f t="shared" si="84"/>
        <v>0.64554794520547942</v>
      </c>
      <c r="AR62" s="154">
        <f t="shared" si="85"/>
        <v>0.53100000000000003</v>
      </c>
      <c r="AS62" s="161"/>
      <c r="AT62" s="161"/>
      <c r="AU62" s="161"/>
      <c r="AV62" s="161"/>
      <c r="AW62" s="181"/>
      <c r="AX62" s="181"/>
      <c r="AY62" s="181"/>
      <c r="AZ62" s="181"/>
      <c r="BA62" s="181"/>
      <c r="BB62" s="161"/>
      <c r="BC62" s="161"/>
      <c r="BD62" s="161"/>
      <c r="BE62" s="181"/>
      <c r="BF62" s="168"/>
      <c r="BG62" s="181"/>
      <c r="BH62" s="168"/>
      <c r="BI62" s="168"/>
      <c r="BJ62" s="161"/>
      <c r="BK62" s="168"/>
      <c r="BL62" s="168"/>
      <c r="BM62" s="168"/>
      <c r="BN62" s="168"/>
      <c r="BO62" s="168">
        <f t="shared" si="335"/>
        <v>172.08732876712327</v>
      </c>
      <c r="BP62" s="168">
        <f t="shared" si="336"/>
        <v>17.058219178082194</v>
      </c>
      <c r="BQ62" s="168">
        <f t="shared" si="337"/>
        <v>0</v>
      </c>
      <c r="BR62" s="181"/>
      <c r="BS62" s="161"/>
      <c r="BT62" s="168"/>
      <c r="BU62" s="161"/>
      <c r="BV62" s="161"/>
      <c r="BW62" s="161"/>
      <c r="BX62" s="161"/>
      <c r="CB62" s="181">
        <f t="shared" si="453"/>
        <v>221.24679824592818</v>
      </c>
      <c r="CC62" s="181">
        <f t="shared" si="453"/>
        <v>0</v>
      </c>
      <c r="CD62" s="181">
        <f t="shared" si="453"/>
        <v>258.59603151367997</v>
      </c>
      <c r="CE62" s="181">
        <f t="shared" si="453"/>
        <v>0</v>
      </c>
      <c r="CF62" s="181">
        <f t="shared" si="453"/>
        <v>860.20164819296815</v>
      </c>
      <c r="CG62" s="181">
        <f t="shared" si="453"/>
        <v>0</v>
      </c>
      <c r="CH62" s="181">
        <f t="shared" si="453"/>
        <v>258.9340655418024</v>
      </c>
      <c r="CI62" s="181">
        <f t="shared" si="453"/>
        <v>0</v>
      </c>
      <c r="CJ62" s="182">
        <f t="shared" si="338"/>
        <v>1598.9785434943788</v>
      </c>
      <c r="CK62" s="161">
        <f t="shared" si="339"/>
        <v>1598.9785434943788</v>
      </c>
      <c r="CL62" s="161">
        <f t="shared" si="243"/>
        <v>529.19999999999993</v>
      </c>
      <c r="CM62" s="182">
        <f t="shared" si="340"/>
        <v>2128.1785434943786</v>
      </c>
      <c r="CN62" s="157">
        <f t="shared" si="341"/>
        <v>468.50071324385294</v>
      </c>
      <c r="CO62" s="162">
        <f t="shared" si="342"/>
        <v>2128.1785434943786</v>
      </c>
      <c r="FT62" s="168">
        <f t="shared" si="244"/>
        <v>2.5</v>
      </c>
      <c r="FU62" s="161">
        <f t="shared" si="245"/>
        <v>350</v>
      </c>
      <c r="FV62" s="161">
        <f t="shared" si="343"/>
        <v>525</v>
      </c>
      <c r="FW62" s="161">
        <f t="shared" si="344"/>
        <v>875</v>
      </c>
      <c r="FX62" s="161">
        <v>303.00000000000102</v>
      </c>
      <c r="FY62" s="168">
        <f t="shared" si="345"/>
        <v>2.5</v>
      </c>
      <c r="FZ62" s="161">
        <v>212.40000000137599</v>
      </c>
      <c r="GA62" s="161">
        <v>318.60000000206401</v>
      </c>
      <c r="GB62" s="161">
        <v>531.00000000343994</v>
      </c>
      <c r="GC62" s="168">
        <f t="shared" si="246"/>
        <v>0.56785714285714284</v>
      </c>
      <c r="GD62" s="154">
        <f t="shared" si="97"/>
        <v>21</v>
      </c>
      <c r="GE62" s="181">
        <f t="shared" si="346"/>
        <v>16.5</v>
      </c>
      <c r="GF62" s="181">
        <f t="shared" si="347"/>
        <v>16.5</v>
      </c>
      <c r="GG62" s="154">
        <f t="shared" si="99"/>
        <v>16.5</v>
      </c>
      <c r="GH62" s="181">
        <f t="shared" si="348"/>
        <v>16.5</v>
      </c>
      <c r="GI62" s="181">
        <f t="shared" si="349"/>
        <v>24.849056603827673</v>
      </c>
      <c r="GJ62" s="181">
        <f t="shared" si="102"/>
        <v>24.849056603827673</v>
      </c>
      <c r="GK62" s="181">
        <f t="shared" si="103"/>
        <v>16.5</v>
      </c>
      <c r="GL62" s="157">
        <f t="shared" si="350"/>
        <v>0</v>
      </c>
      <c r="GM62" s="157">
        <f t="shared" si="105"/>
        <v>318.59999999999997</v>
      </c>
      <c r="GN62" s="157">
        <f t="shared" si="106"/>
        <v>0</v>
      </c>
      <c r="GO62" s="157">
        <f t="shared" si="107"/>
        <v>318.59999999999997</v>
      </c>
      <c r="GP62" s="157">
        <f t="shared" si="108"/>
        <v>396.90000000000003</v>
      </c>
      <c r="GQ62" s="157">
        <f t="shared" si="109"/>
        <v>2128.1785434943786</v>
      </c>
      <c r="GR62" s="157">
        <f t="shared" si="351"/>
        <v>715.5</v>
      </c>
      <c r="GS62" s="200">
        <f t="shared" si="352"/>
        <v>0.33620299489777744</v>
      </c>
      <c r="GT62" s="157">
        <f t="shared" si="353"/>
        <v>715.5</v>
      </c>
      <c r="GU62" s="157">
        <f t="shared" si="354"/>
        <v>645.54794520547944</v>
      </c>
      <c r="GV62" s="162">
        <f t="shared" si="114"/>
        <v>645.54794520547944</v>
      </c>
      <c r="GW62" s="157">
        <f t="shared" si="355"/>
        <v>645.54794520547944</v>
      </c>
      <c r="GX62" s="157">
        <f t="shared" si="247"/>
        <v>318.59999999999997</v>
      </c>
      <c r="GY62" s="207">
        <f t="shared" si="356"/>
        <v>258.21917808219177</v>
      </c>
      <c r="GZ62" s="207">
        <f t="shared" si="116"/>
        <v>212.39999999999998</v>
      </c>
      <c r="HA62" s="157">
        <f t="shared" si="117"/>
        <v>212.4000000001376</v>
      </c>
      <c r="HB62" s="157">
        <f t="shared" si="357"/>
        <v>318.60000000020636</v>
      </c>
      <c r="HC62" s="157">
        <f t="shared" si="358"/>
        <v>531.00000000034402</v>
      </c>
      <c r="HD62" s="168">
        <f t="shared" si="359"/>
        <v>64.357200000041914</v>
      </c>
      <c r="HE62" s="168">
        <f t="shared" si="360"/>
        <v>96.535800000062864</v>
      </c>
      <c r="HF62" s="168">
        <f t="shared" si="361"/>
        <v>160.89300000010476</v>
      </c>
      <c r="HG62" s="157">
        <f t="shared" si="119"/>
        <v>114.54794520513542</v>
      </c>
      <c r="HH62" s="168">
        <f t="shared" si="362"/>
        <v>0</v>
      </c>
      <c r="HI62" s="168">
        <f t="shared" si="363"/>
        <v>216.79650000000075</v>
      </c>
      <c r="HJ62" s="168">
        <f t="shared" si="364"/>
        <v>195.60102739726094</v>
      </c>
      <c r="HK62" s="168">
        <f t="shared" si="123"/>
        <v>34.708027397156151</v>
      </c>
      <c r="HL62" s="168">
        <f t="shared" si="124"/>
        <v>412.39752739726163</v>
      </c>
      <c r="HM62" s="157">
        <f t="shared" si="125"/>
        <v>531.00000000343994</v>
      </c>
      <c r="HN62" s="168">
        <f t="shared" si="365"/>
        <v>96.535800000062864</v>
      </c>
      <c r="HP62" s="168">
        <f t="shared" si="366"/>
        <v>96.535800000000307</v>
      </c>
      <c r="HQ62" s="168">
        <f t="shared" si="367"/>
        <v>96.535800000000307</v>
      </c>
      <c r="HR62" s="181"/>
      <c r="HU62" s="168">
        <f t="shared" ref="HU62:HV62" si="472">HU61</f>
        <v>2.5</v>
      </c>
      <c r="HV62" s="161">
        <f t="shared" si="472"/>
        <v>350</v>
      </c>
      <c r="HW62" s="161">
        <f t="shared" si="369"/>
        <v>525</v>
      </c>
      <c r="HX62" s="161">
        <f t="shared" si="370"/>
        <v>875</v>
      </c>
      <c r="HY62" s="161">
        <v>303.00000000000102</v>
      </c>
      <c r="HZ62" s="168">
        <f t="shared" si="371"/>
        <v>2.5</v>
      </c>
      <c r="IA62" s="161">
        <v>91.787142857142797</v>
      </c>
      <c r="IB62" s="161">
        <v>137.6807142857142</v>
      </c>
      <c r="IC62" s="161">
        <v>229.46785714285699</v>
      </c>
      <c r="ID62" s="168">
        <f t="shared" ref="ID62" si="473">ID61</f>
        <v>0.56785714285714284</v>
      </c>
      <c r="IE62" s="154">
        <f t="shared" si="130"/>
        <v>21</v>
      </c>
      <c r="IF62" s="154">
        <f t="shared" si="131"/>
        <v>16.5</v>
      </c>
      <c r="IG62" s="181">
        <f t="shared" si="373"/>
        <v>18.444642857142856</v>
      </c>
      <c r="IH62" s="181">
        <f t="shared" si="374"/>
        <v>19.344642857142858</v>
      </c>
      <c r="II62" s="181">
        <f t="shared" si="375"/>
        <v>16.5</v>
      </c>
      <c r="IJ62" s="181">
        <f t="shared" si="376"/>
        <v>22.952628032345011</v>
      </c>
      <c r="IK62" s="181">
        <f t="shared" si="377"/>
        <v>22.952628032345011</v>
      </c>
      <c r="IL62" s="181">
        <f t="shared" si="250"/>
        <v>0</v>
      </c>
      <c r="IM62" s="181">
        <f t="shared" si="137"/>
        <v>16.5</v>
      </c>
      <c r="IN62" s="157">
        <f t="shared" si="378"/>
        <v>180.91928571428576</v>
      </c>
      <c r="IO62" s="157">
        <f t="shared" si="139"/>
        <v>318.59999999999997</v>
      </c>
      <c r="IP62" s="157">
        <f t="shared" si="42"/>
        <v>0</v>
      </c>
      <c r="IQ62" s="157">
        <f t="shared" si="43"/>
        <v>137.6807142857142</v>
      </c>
      <c r="IR62" s="157">
        <f t="shared" si="140"/>
        <v>396.90000000000003</v>
      </c>
      <c r="IS62" s="157">
        <f t="shared" si="141"/>
        <v>2128.1785434943786</v>
      </c>
      <c r="IT62" s="157">
        <f t="shared" si="379"/>
        <v>534.58071428571429</v>
      </c>
      <c r="IU62" s="200">
        <f t="shared" si="380"/>
        <v>0.25119166618791089</v>
      </c>
      <c r="IV62" s="157">
        <f t="shared" si="381"/>
        <v>534.58071428571429</v>
      </c>
      <c r="IW62" s="157">
        <f t="shared" si="382"/>
        <v>645.54794520547944</v>
      </c>
      <c r="IX62" s="162">
        <f t="shared" si="146"/>
        <v>645.54794520547944</v>
      </c>
      <c r="IY62" s="157">
        <f t="shared" si="22"/>
        <v>645.54794520547944</v>
      </c>
      <c r="IZ62" s="157">
        <f t="shared" si="147"/>
        <v>137.6807142857142</v>
      </c>
      <c r="JA62" s="207">
        <f t="shared" si="383"/>
        <v>258.21917808219177</v>
      </c>
      <c r="JB62" s="207">
        <f t="shared" si="149"/>
        <v>91.787142857142797</v>
      </c>
      <c r="JC62" s="157">
        <f t="shared" si="150"/>
        <v>91.787142857142797</v>
      </c>
      <c r="JD62" s="157">
        <f t="shared" si="384"/>
        <v>137.6807142857142</v>
      </c>
      <c r="JE62" s="157">
        <f t="shared" si="385"/>
        <v>229.46785714285699</v>
      </c>
      <c r="JF62" s="168">
        <f t="shared" si="386"/>
        <v>27.811504285714364</v>
      </c>
      <c r="JG62" s="168">
        <f t="shared" si="387"/>
        <v>41.717256428571545</v>
      </c>
      <c r="JH62" s="168">
        <f t="shared" si="388"/>
        <v>69.528760714285895</v>
      </c>
      <c r="JI62" s="157">
        <f t="shared" si="156"/>
        <v>416.08008806262245</v>
      </c>
      <c r="JJ62" s="168">
        <f t="shared" si="389"/>
        <v>0</v>
      </c>
      <c r="JK62" s="168">
        <f t="shared" si="390"/>
        <v>161.97795642857199</v>
      </c>
      <c r="JL62" s="168">
        <f t="shared" si="391"/>
        <v>195.60102739726094</v>
      </c>
      <c r="JM62" s="168">
        <f t="shared" si="160"/>
        <v>126.07226668297504</v>
      </c>
      <c r="JN62" s="168">
        <f t="shared" si="161"/>
        <v>412.39752739726163</v>
      </c>
      <c r="JO62" s="157">
        <f t="shared" si="162"/>
        <v>0</v>
      </c>
      <c r="JP62" s="168">
        <f t="shared" si="392"/>
        <v>41.717256428571545</v>
      </c>
      <c r="JR62" s="168">
        <f t="shared" si="393"/>
        <v>96.535800000000307</v>
      </c>
      <c r="JS62" s="168">
        <f t="shared" si="394"/>
        <v>41.717256428571545</v>
      </c>
      <c r="JT62" s="181"/>
      <c r="JW62" s="168">
        <f t="shared" ref="JW62:JX62" si="474">JW61</f>
        <v>2.5</v>
      </c>
      <c r="JX62" s="161">
        <f t="shared" si="474"/>
        <v>350</v>
      </c>
      <c r="JY62" s="161">
        <f t="shared" si="396"/>
        <v>525</v>
      </c>
      <c r="JZ62" s="161">
        <f t="shared" si="397"/>
        <v>875</v>
      </c>
      <c r="KA62" s="161">
        <v>303.00000000000102</v>
      </c>
      <c r="KB62" s="168">
        <f t="shared" si="398"/>
        <v>2.5</v>
      </c>
      <c r="KC62" s="161">
        <v>91.787142857142797</v>
      </c>
      <c r="KD62" s="161">
        <v>137.6807142857142</v>
      </c>
      <c r="KE62" s="161">
        <v>229.46785714285699</v>
      </c>
      <c r="KF62" s="168">
        <f t="shared" ref="KF62" si="475">KF61</f>
        <v>0.56785714285714284</v>
      </c>
      <c r="KG62" s="154">
        <f t="shared" si="167"/>
        <v>21</v>
      </c>
      <c r="KH62" s="154">
        <f t="shared" si="168"/>
        <v>16.5</v>
      </c>
      <c r="KI62" s="181">
        <f t="shared" si="400"/>
        <v>18.444642857142856</v>
      </c>
      <c r="KJ62" s="181">
        <f t="shared" si="401"/>
        <v>19.344642857142858</v>
      </c>
      <c r="KK62" s="181">
        <f t="shared" si="402"/>
        <v>16.5</v>
      </c>
      <c r="KL62" s="181">
        <f t="shared" si="403"/>
        <v>19.344642857142858</v>
      </c>
      <c r="KM62" s="181">
        <f t="shared" si="404"/>
        <v>19.344642857142858</v>
      </c>
      <c r="KN62" s="181">
        <f t="shared" si="253"/>
        <v>0</v>
      </c>
      <c r="KO62" s="181">
        <f t="shared" si="174"/>
        <v>16.5</v>
      </c>
      <c r="KP62" s="157">
        <f t="shared" si="405"/>
        <v>180.91928571428576</v>
      </c>
      <c r="KQ62" s="157">
        <f t="shared" si="46"/>
        <v>318.59999999999997</v>
      </c>
      <c r="KR62" s="157">
        <f t="shared" si="406"/>
        <v>0</v>
      </c>
      <c r="KS62" s="157">
        <f t="shared" si="407"/>
        <v>137.6807142857142</v>
      </c>
      <c r="KT62" s="157">
        <f t="shared" si="178"/>
        <v>396.90000000000003</v>
      </c>
      <c r="KU62" s="157">
        <f t="shared" si="179"/>
        <v>2128.1785434943786</v>
      </c>
      <c r="KV62" s="157">
        <f t="shared" si="408"/>
        <v>534.58071428571429</v>
      </c>
      <c r="KW62" s="200">
        <f t="shared" si="409"/>
        <v>0.25119166618791089</v>
      </c>
      <c r="KX62" s="157">
        <f t="shared" si="410"/>
        <v>534.58071428571429</v>
      </c>
      <c r="KY62" s="157">
        <f t="shared" si="411"/>
        <v>645.54794520547944</v>
      </c>
      <c r="KZ62" s="162">
        <f t="shared" si="47"/>
        <v>645.54794520547944</v>
      </c>
      <c r="LA62" s="157">
        <f t="shared" si="184"/>
        <v>645.54794520547944</v>
      </c>
      <c r="LB62" s="157">
        <f t="shared" si="185"/>
        <v>137.6807142857142</v>
      </c>
      <c r="LC62" s="207">
        <f t="shared" si="412"/>
        <v>258.21917808219177</v>
      </c>
      <c r="LD62" s="207">
        <f t="shared" si="187"/>
        <v>91.787142857142797</v>
      </c>
      <c r="LE62" s="157">
        <f t="shared" si="188"/>
        <v>91.787142857142797</v>
      </c>
      <c r="LF62" s="157">
        <f t="shared" si="413"/>
        <v>137.6807142857142</v>
      </c>
      <c r="LG62" s="157">
        <f t="shared" si="414"/>
        <v>229.46785714285699</v>
      </c>
      <c r="LH62" s="168">
        <f t="shared" si="415"/>
        <v>27.811504285714364</v>
      </c>
      <c r="LI62" s="168">
        <f t="shared" si="416"/>
        <v>41.717256428571545</v>
      </c>
      <c r="LJ62" s="168">
        <f t="shared" si="417"/>
        <v>69.528760714285895</v>
      </c>
      <c r="LK62" s="157">
        <f t="shared" si="194"/>
        <v>416.08008806262245</v>
      </c>
      <c r="LL62" s="168">
        <f t="shared" si="418"/>
        <v>0</v>
      </c>
      <c r="LM62" s="168">
        <f t="shared" si="419"/>
        <v>161.97795642857199</v>
      </c>
      <c r="LN62" s="168">
        <f t="shared" si="420"/>
        <v>195.60102739726094</v>
      </c>
      <c r="LO62" s="168">
        <f t="shared" si="198"/>
        <v>126.07226668297504</v>
      </c>
      <c r="LP62" s="168">
        <f t="shared" si="199"/>
        <v>412.39752739726163</v>
      </c>
      <c r="LQ62" s="157">
        <f t="shared" si="200"/>
        <v>0</v>
      </c>
      <c r="LR62" s="168">
        <f t="shared" si="421"/>
        <v>41.717256428571545</v>
      </c>
      <c r="LT62" s="168">
        <f t="shared" si="422"/>
        <v>96.535800000000307</v>
      </c>
      <c r="LU62" s="168">
        <f t="shared" si="423"/>
        <v>41.717256428571545</v>
      </c>
      <c r="LV62" s="181"/>
      <c r="LY62" s="168">
        <f t="shared" ref="LY62:LZ62" si="476">LY61</f>
        <v>2.5</v>
      </c>
      <c r="LZ62" s="161">
        <f t="shared" si="476"/>
        <v>350</v>
      </c>
      <c r="MA62" s="161">
        <f t="shared" si="425"/>
        <v>525</v>
      </c>
      <c r="MB62" s="161">
        <f t="shared" si="426"/>
        <v>875</v>
      </c>
      <c r="MC62" s="161">
        <v>303.00000000000102</v>
      </c>
      <c r="MD62" s="168">
        <f t="shared" si="427"/>
        <v>2.5</v>
      </c>
      <c r="ME62" s="161">
        <v>212.39999999999998</v>
      </c>
      <c r="MF62" s="161">
        <v>318.59999999999997</v>
      </c>
      <c r="MG62" s="161">
        <v>531</v>
      </c>
      <c r="MH62" s="168">
        <f t="shared" ref="MH62" si="477">MH61</f>
        <v>0.56785714285714284</v>
      </c>
      <c r="MI62" s="154">
        <f t="shared" si="205"/>
        <v>21</v>
      </c>
      <c r="MJ62" s="181">
        <f t="shared" si="429"/>
        <v>16.5</v>
      </c>
      <c r="MK62" s="181">
        <f t="shared" si="430"/>
        <v>16.5</v>
      </c>
      <c r="ML62" s="154">
        <f t="shared" si="208"/>
        <v>16.5</v>
      </c>
      <c r="MM62" s="181">
        <f t="shared" si="431"/>
        <v>16.5</v>
      </c>
      <c r="MN62" s="181">
        <f t="shared" si="432"/>
        <v>16.5</v>
      </c>
      <c r="MO62" s="181">
        <f t="shared" si="433"/>
        <v>16.5</v>
      </c>
      <c r="MP62" s="181">
        <f t="shared" si="212"/>
        <v>16.5</v>
      </c>
      <c r="MQ62" s="157">
        <f t="shared" si="434"/>
        <v>0</v>
      </c>
      <c r="MR62" s="157">
        <f t="shared" si="213"/>
        <v>318.59999999999997</v>
      </c>
      <c r="MS62" s="157">
        <f t="shared" si="435"/>
        <v>0</v>
      </c>
      <c r="MT62" s="157">
        <f t="shared" si="436"/>
        <v>318.59999999999997</v>
      </c>
      <c r="MU62" s="157">
        <f t="shared" si="216"/>
        <v>396.90000000000003</v>
      </c>
      <c r="MV62" s="157">
        <f t="shared" si="217"/>
        <v>2128.1785434943786</v>
      </c>
      <c r="MW62" s="157">
        <f t="shared" si="437"/>
        <v>715.5</v>
      </c>
      <c r="MX62" s="200">
        <f t="shared" si="438"/>
        <v>0.33620299489777744</v>
      </c>
      <c r="MY62" s="157">
        <f t="shared" si="439"/>
        <v>715.5</v>
      </c>
      <c r="MZ62" s="157">
        <f t="shared" si="440"/>
        <v>645.54794520547944</v>
      </c>
      <c r="NA62" s="162">
        <f t="shared" si="222"/>
        <v>645.54794520547944</v>
      </c>
      <c r="NB62" s="157">
        <f t="shared" si="223"/>
        <v>645.54794520547944</v>
      </c>
      <c r="NC62" s="157">
        <f t="shared" si="224"/>
        <v>318.59999999999997</v>
      </c>
      <c r="ND62" s="207">
        <f t="shared" si="441"/>
        <v>258.21917808219177</v>
      </c>
      <c r="NE62" s="207">
        <f t="shared" si="225"/>
        <v>212.39999999999998</v>
      </c>
      <c r="NF62" s="157">
        <f t="shared" si="226"/>
        <v>212.39999999999998</v>
      </c>
      <c r="NG62" s="157">
        <f t="shared" si="442"/>
        <v>318.59999999999997</v>
      </c>
      <c r="NH62" s="157">
        <f t="shared" si="443"/>
        <v>531</v>
      </c>
      <c r="NI62" s="168">
        <f t="shared" si="444"/>
        <v>64.357200000000205</v>
      </c>
      <c r="NJ62" s="168">
        <f t="shared" si="445"/>
        <v>96.535800000000307</v>
      </c>
      <c r="NK62" s="168">
        <f t="shared" si="446"/>
        <v>160.89300000000054</v>
      </c>
      <c r="NL62" s="157">
        <f t="shared" si="230"/>
        <v>114.54794520547944</v>
      </c>
      <c r="NM62" s="168">
        <f t="shared" si="447"/>
        <v>0</v>
      </c>
      <c r="NN62" s="168">
        <f t="shared" si="448"/>
        <v>216.79650000000075</v>
      </c>
      <c r="NO62" s="168">
        <f t="shared" si="449"/>
        <v>195.60102739726094</v>
      </c>
      <c r="NP62" s="168">
        <f t="shared" si="234"/>
        <v>34.708027397260388</v>
      </c>
      <c r="NQ62" s="168">
        <f t="shared" si="235"/>
        <v>412.39752739726163</v>
      </c>
      <c r="NR62" s="157">
        <f t="shared" si="236"/>
        <v>0</v>
      </c>
      <c r="NS62" s="168">
        <f t="shared" si="450"/>
        <v>96.535800000000307</v>
      </c>
      <c r="NT62" s="157">
        <f t="shared" si="319"/>
        <v>1361.0479452054794</v>
      </c>
      <c r="NU62" s="168">
        <f t="shared" si="451"/>
        <v>96.535800000000307</v>
      </c>
      <c r="NV62" s="168">
        <f t="shared" si="452"/>
        <v>96.535800000000307</v>
      </c>
      <c r="NX62" s="157"/>
      <c r="NY62" s="157"/>
      <c r="NZ62" s="157"/>
      <c r="OA62" s="157"/>
      <c r="OB62" s="157"/>
    </row>
    <row r="63" spans="1:392" ht="13" x14ac:dyDescent="0.3">
      <c r="A63" s="154">
        <v>91.769406392694066</v>
      </c>
      <c r="B63" s="154">
        <v>17.5</v>
      </c>
      <c r="C63" s="154">
        <f t="shared" si="320"/>
        <v>17.5</v>
      </c>
      <c r="D63" s="154">
        <v>47382.7</v>
      </c>
      <c r="E63" s="200">
        <f t="shared" si="332"/>
        <v>218.35345622119766</v>
      </c>
      <c r="F63" s="181">
        <f t="shared" si="333"/>
        <v>308.7</v>
      </c>
      <c r="G63" s="161">
        <f t="shared" si="334"/>
        <v>217.00000000000048</v>
      </c>
      <c r="H63" s="154">
        <f t="shared" si="55"/>
        <v>0.30869999999999997</v>
      </c>
      <c r="I63" s="161">
        <f t="shared" si="56"/>
        <v>759.50000000000171</v>
      </c>
      <c r="J63" s="181">
        <f t="shared" si="57"/>
        <v>21</v>
      </c>
      <c r="K63" s="181">
        <f t="shared" si="58"/>
        <v>17.5</v>
      </c>
      <c r="L63" s="181">
        <f t="shared" si="59"/>
        <v>17.5</v>
      </c>
      <c r="M63" s="181">
        <f t="shared" si="60"/>
        <v>17.5</v>
      </c>
      <c r="N63" s="181">
        <f t="shared" si="61"/>
        <v>17.5</v>
      </c>
      <c r="O63" s="181">
        <f t="shared" si="62"/>
        <v>17.5</v>
      </c>
      <c r="P63" s="181">
        <f t="shared" si="63"/>
        <v>17.5</v>
      </c>
      <c r="Q63" s="181">
        <f t="shared" si="64"/>
        <v>20.09748427672956</v>
      </c>
      <c r="R63" s="168">
        <f t="shared" si="65"/>
        <v>89.621000000000194</v>
      </c>
      <c r="S63" s="161">
        <f t="shared" si="66"/>
        <v>140.08390410958938</v>
      </c>
      <c r="T63" s="161">
        <f t="shared" si="67"/>
        <v>36.40012492461446</v>
      </c>
      <c r="U63" s="161">
        <f t="shared" si="68"/>
        <v>27.65012492461446</v>
      </c>
      <c r="V63" s="154">
        <f t="shared" si="69"/>
        <v>0</v>
      </c>
      <c r="W63" s="154">
        <f t="shared" si="70"/>
        <v>0.23254794520547956</v>
      </c>
      <c r="X63" s="154">
        <f t="shared" si="71"/>
        <v>0.64554794520547953</v>
      </c>
      <c r="Y63" s="154">
        <f t="shared" si="72"/>
        <v>1.2020479452054795</v>
      </c>
      <c r="Z63" s="154">
        <f t="shared" si="321"/>
        <v>0.24779999999999999</v>
      </c>
      <c r="AA63" s="154">
        <f t="shared" si="322"/>
        <v>0.55649999999999999</v>
      </c>
      <c r="AB63" s="154">
        <f t="shared" si="323"/>
        <v>0.64554794520547942</v>
      </c>
      <c r="AC63" s="154">
        <f t="shared" si="324"/>
        <v>0.64554794520547942</v>
      </c>
      <c r="AD63" s="154">
        <f t="shared" si="325"/>
        <v>0.16519999999999999</v>
      </c>
      <c r="AE63" s="154">
        <f t="shared" si="326"/>
        <v>0.24779999999999999</v>
      </c>
      <c r="AF63" s="154">
        <f t="shared" si="327"/>
        <v>0.41299999999999998</v>
      </c>
      <c r="AG63" s="154">
        <f t="shared" si="75"/>
        <v>0</v>
      </c>
      <c r="AH63" s="154">
        <f t="shared" si="76"/>
        <v>0.41299999999999998</v>
      </c>
      <c r="AI63" s="154">
        <f t="shared" si="77"/>
        <v>0.58732876712328763</v>
      </c>
      <c r="AJ63" s="154">
        <f t="shared" si="78"/>
        <v>5.8219178082191785E-2</v>
      </c>
      <c r="AK63" s="154">
        <f t="shared" si="79"/>
        <v>0</v>
      </c>
      <c r="AL63" s="161">
        <f t="shared" si="80"/>
        <v>587.32876712328766</v>
      </c>
      <c r="AM63" s="161">
        <f t="shared" si="81"/>
        <v>58.219178082191782</v>
      </c>
      <c r="AN63" s="161">
        <f t="shared" si="82"/>
        <v>0</v>
      </c>
      <c r="AO63" s="161"/>
      <c r="AP63" s="154">
        <f t="shared" si="83"/>
        <v>0.64554794520547942</v>
      </c>
      <c r="AQ63" s="154">
        <f t="shared" si="84"/>
        <v>0.64554794520547942</v>
      </c>
      <c r="AR63" s="154">
        <f t="shared" si="85"/>
        <v>0.41299999999999998</v>
      </c>
      <c r="AS63" s="161"/>
      <c r="AT63" s="161"/>
      <c r="AU63" s="161"/>
      <c r="AV63" s="161"/>
      <c r="AW63" s="181"/>
      <c r="AX63" s="181"/>
      <c r="AY63" s="181"/>
      <c r="AZ63" s="181"/>
      <c r="BA63" s="181"/>
      <c r="BB63" s="161"/>
      <c r="BC63" s="161"/>
      <c r="BD63" s="161"/>
      <c r="BE63" s="181"/>
      <c r="BF63" s="168"/>
      <c r="BG63" s="181"/>
      <c r="BH63" s="168"/>
      <c r="BI63" s="168"/>
      <c r="BJ63" s="161"/>
      <c r="BK63" s="168"/>
      <c r="BL63" s="168"/>
      <c r="BM63" s="168"/>
      <c r="BN63" s="168"/>
      <c r="BO63" s="168">
        <f t="shared" si="335"/>
        <v>127.45034246575371</v>
      </c>
      <c r="BP63" s="168">
        <f t="shared" si="336"/>
        <v>12.633561643835645</v>
      </c>
      <c r="BQ63" s="168">
        <f t="shared" si="337"/>
        <v>0</v>
      </c>
      <c r="BR63" s="181"/>
      <c r="BS63" s="161"/>
      <c r="BT63" s="168"/>
      <c r="BU63" s="161"/>
      <c r="BV63" s="161"/>
      <c r="BW63" s="161"/>
      <c r="BX63" s="161"/>
      <c r="CB63" s="181">
        <f t="shared" si="453"/>
        <v>200.23044672133929</v>
      </c>
      <c r="CC63" s="181">
        <f t="shared" si="453"/>
        <v>0</v>
      </c>
      <c r="CD63" s="181">
        <f t="shared" si="453"/>
        <v>234.03185637423167</v>
      </c>
      <c r="CE63" s="181">
        <f t="shared" si="453"/>
        <v>0</v>
      </c>
      <c r="CF63" s="181">
        <f t="shared" si="453"/>
        <v>778.49063423126961</v>
      </c>
      <c r="CG63" s="181">
        <f t="shared" si="453"/>
        <v>0</v>
      </c>
      <c r="CH63" s="181">
        <f t="shared" si="453"/>
        <v>234.33778036949215</v>
      </c>
      <c r="CI63" s="181">
        <f t="shared" si="453"/>
        <v>0</v>
      </c>
      <c r="CJ63" s="182">
        <f t="shared" si="338"/>
        <v>1447.0907176963326</v>
      </c>
      <c r="CK63" s="161">
        <f t="shared" si="339"/>
        <v>1447.0907176963326</v>
      </c>
      <c r="CL63" s="161">
        <f t="shared" si="243"/>
        <v>529.19999999999993</v>
      </c>
      <c r="CM63" s="182">
        <f t="shared" si="340"/>
        <v>1976.2907176963326</v>
      </c>
      <c r="CN63" s="157">
        <f t="shared" si="341"/>
        <v>314.0186857401049</v>
      </c>
      <c r="CO63" s="162">
        <f t="shared" si="342"/>
        <v>1976.2907176963326</v>
      </c>
      <c r="FT63" s="168">
        <f t="shared" si="244"/>
        <v>2.5</v>
      </c>
      <c r="FU63" s="161">
        <f t="shared" si="245"/>
        <v>350</v>
      </c>
      <c r="FV63" s="161">
        <f t="shared" si="343"/>
        <v>525</v>
      </c>
      <c r="FW63" s="161">
        <f t="shared" si="344"/>
        <v>875</v>
      </c>
      <c r="FX63" s="161">
        <v>304.00000000000102</v>
      </c>
      <c r="FY63" s="168">
        <f t="shared" si="345"/>
        <v>2.5</v>
      </c>
      <c r="FZ63" s="161">
        <v>165.200000001848</v>
      </c>
      <c r="GA63" s="161">
        <v>247.80000000277198</v>
      </c>
      <c r="GB63" s="161">
        <v>413.00000000462001</v>
      </c>
      <c r="GC63" s="168">
        <f t="shared" si="246"/>
        <v>0.56785714285714284</v>
      </c>
      <c r="GD63" s="154">
        <f t="shared" si="97"/>
        <v>21</v>
      </c>
      <c r="GE63" s="181">
        <f t="shared" si="346"/>
        <v>17.5</v>
      </c>
      <c r="GF63" s="181">
        <f t="shared" si="347"/>
        <v>17.5</v>
      </c>
      <c r="GG63" s="154">
        <f t="shared" si="99"/>
        <v>17.5</v>
      </c>
      <c r="GH63" s="181">
        <f t="shared" si="348"/>
        <v>17.5</v>
      </c>
      <c r="GI63" s="181">
        <f t="shared" si="349"/>
        <v>23.993710691896542</v>
      </c>
      <c r="GJ63" s="181">
        <f t="shared" si="102"/>
        <v>23.993710691896542</v>
      </c>
      <c r="GK63" s="181">
        <f t="shared" si="103"/>
        <v>17.5</v>
      </c>
      <c r="GL63" s="157">
        <f t="shared" si="350"/>
        <v>0</v>
      </c>
      <c r="GM63" s="157">
        <f t="shared" si="105"/>
        <v>247.79999999999998</v>
      </c>
      <c r="GN63" s="157">
        <f t="shared" si="106"/>
        <v>0</v>
      </c>
      <c r="GO63" s="157">
        <f t="shared" si="107"/>
        <v>247.79999999999998</v>
      </c>
      <c r="GP63" s="157">
        <f t="shared" si="108"/>
        <v>308.7</v>
      </c>
      <c r="GQ63" s="157">
        <f t="shared" si="109"/>
        <v>1976.2907176963326</v>
      </c>
      <c r="GR63" s="157">
        <f t="shared" si="351"/>
        <v>556.5</v>
      </c>
      <c r="GS63" s="200">
        <f t="shared" si="352"/>
        <v>0.28158812618858292</v>
      </c>
      <c r="GT63" s="157">
        <f t="shared" si="353"/>
        <v>556.5</v>
      </c>
      <c r="GU63" s="157">
        <f t="shared" si="354"/>
        <v>645.54794520547944</v>
      </c>
      <c r="GV63" s="162">
        <f t="shared" si="114"/>
        <v>645.54794520547944</v>
      </c>
      <c r="GW63" s="157">
        <f t="shared" si="355"/>
        <v>645.54794520547944</v>
      </c>
      <c r="GX63" s="157">
        <f t="shared" si="247"/>
        <v>247.79999999999998</v>
      </c>
      <c r="GY63" s="207">
        <f t="shared" si="356"/>
        <v>258.21917808219177</v>
      </c>
      <c r="GZ63" s="207">
        <f t="shared" si="116"/>
        <v>165.2</v>
      </c>
      <c r="HA63" s="157">
        <f t="shared" si="117"/>
        <v>165.20000000018482</v>
      </c>
      <c r="HB63" s="157">
        <f t="shared" si="357"/>
        <v>247.80000000027724</v>
      </c>
      <c r="HC63" s="157">
        <f t="shared" si="358"/>
        <v>413.00000000046202</v>
      </c>
      <c r="HD63" s="168">
        <f t="shared" si="359"/>
        <v>50.22080000005635</v>
      </c>
      <c r="HE63" s="168">
        <f t="shared" si="360"/>
        <v>75.331200000084536</v>
      </c>
      <c r="HF63" s="168">
        <f t="shared" si="361"/>
        <v>125.55200000014086</v>
      </c>
      <c r="HG63" s="157">
        <f t="shared" si="119"/>
        <v>232.54794520501741</v>
      </c>
      <c r="HH63" s="168">
        <f t="shared" si="362"/>
        <v>0</v>
      </c>
      <c r="HI63" s="168">
        <f t="shared" si="363"/>
        <v>169.17600000000056</v>
      </c>
      <c r="HJ63" s="168">
        <f t="shared" si="364"/>
        <v>196.2465753424664</v>
      </c>
      <c r="HK63" s="168">
        <f t="shared" si="123"/>
        <v>70.694575342325535</v>
      </c>
      <c r="HL63" s="168">
        <f t="shared" si="124"/>
        <v>365.42257534246698</v>
      </c>
      <c r="HM63" s="157">
        <f t="shared" si="125"/>
        <v>413.00000000462001</v>
      </c>
      <c r="HN63" s="168">
        <f t="shared" si="365"/>
        <v>75.331200000084536</v>
      </c>
      <c r="HP63" s="168">
        <f t="shared" si="366"/>
        <v>75.331200000000251</v>
      </c>
      <c r="HQ63" s="168">
        <f t="shared" si="367"/>
        <v>75.331200000000251</v>
      </c>
      <c r="HR63" s="181"/>
      <c r="HU63" s="168">
        <f t="shared" ref="HU63:HV63" si="478">HU62</f>
        <v>2.5</v>
      </c>
      <c r="HV63" s="161">
        <f t="shared" si="478"/>
        <v>350</v>
      </c>
      <c r="HW63" s="161">
        <f t="shared" si="369"/>
        <v>525</v>
      </c>
      <c r="HX63" s="161">
        <f t="shared" si="370"/>
        <v>875</v>
      </c>
      <c r="HY63" s="161">
        <v>304.00000000000102</v>
      </c>
      <c r="HZ63" s="168">
        <f t="shared" si="371"/>
        <v>2.5</v>
      </c>
      <c r="IA63" s="161">
        <v>71.389999999999972</v>
      </c>
      <c r="IB63" s="161">
        <v>107.08499999999995</v>
      </c>
      <c r="IC63" s="161">
        <v>178.47499999999994</v>
      </c>
      <c r="ID63" s="168">
        <f t="shared" ref="ID63" si="479">ID62</f>
        <v>0.56785714285714284</v>
      </c>
      <c r="IE63" s="154">
        <f t="shared" si="130"/>
        <v>21</v>
      </c>
      <c r="IF63" s="154">
        <f t="shared" si="131"/>
        <v>17.5</v>
      </c>
      <c r="IG63" s="181">
        <f t="shared" si="373"/>
        <v>19.012499999999999</v>
      </c>
      <c r="IH63" s="181">
        <f t="shared" si="374"/>
        <v>19.712500000000002</v>
      </c>
      <c r="II63" s="181">
        <f t="shared" si="375"/>
        <v>17.5</v>
      </c>
      <c r="IJ63" s="181">
        <f t="shared" si="376"/>
        <v>22.518710691823902</v>
      </c>
      <c r="IK63" s="181">
        <f t="shared" si="377"/>
        <v>22.518710691823902</v>
      </c>
      <c r="IL63" s="181">
        <f t="shared" si="250"/>
        <v>0</v>
      </c>
      <c r="IM63" s="181">
        <f t="shared" si="137"/>
        <v>17.5</v>
      </c>
      <c r="IN63" s="157">
        <f t="shared" si="378"/>
        <v>140.71500000000003</v>
      </c>
      <c r="IO63" s="157">
        <f t="shared" si="139"/>
        <v>247.79999999999998</v>
      </c>
      <c r="IP63" s="157">
        <f t="shared" si="42"/>
        <v>0</v>
      </c>
      <c r="IQ63" s="157">
        <f t="shared" si="43"/>
        <v>107.08499999999995</v>
      </c>
      <c r="IR63" s="157">
        <f t="shared" si="140"/>
        <v>308.7</v>
      </c>
      <c r="IS63" s="157">
        <f t="shared" si="141"/>
        <v>1976.2907176963326</v>
      </c>
      <c r="IT63" s="157">
        <f t="shared" si="379"/>
        <v>415.78499999999997</v>
      </c>
      <c r="IU63" s="200">
        <f t="shared" si="380"/>
        <v>0.21038655713804119</v>
      </c>
      <c r="IV63" s="157">
        <f t="shared" si="381"/>
        <v>415.78499999999991</v>
      </c>
      <c r="IW63" s="157">
        <f t="shared" si="382"/>
        <v>645.54794520547944</v>
      </c>
      <c r="IX63" s="162">
        <f t="shared" si="146"/>
        <v>645.54794520547955</v>
      </c>
      <c r="IY63" s="157">
        <f t="shared" si="22"/>
        <v>645.54794520547955</v>
      </c>
      <c r="IZ63" s="157">
        <f t="shared" si="147"/>
        <v>107.08499999999995</v>
      </c>
      <c r="JA63" s="207">
        <f t="shared" si="383"/>
        <v>258.21917808219183</v>
      </c>
      <c r="JB63" s="207">
        <f t="shared" si="149"/>
        <v>71.389999999999972</v>
      </c>
      <c r="JC63" s="157">
        <f t="shared" si="150"/>
        <v>71.389999999999972</v>
      </c>
      <c r="JD63" s="157">
        <f t="shared" si="384"/>
        <v>107.08499999999995</v>
      </c>
      <c r="JE63" s="157">
        <f t="shared" si="385"/>
        <v>178.47499999999994</v>
      </c>
      <c r="JF63" s="168">
        <f t="shared" si="386"/>
        <v>21.702560000000062</v>
      </c>
      <c r="JG63" s="168">
        <f t="shared" si="387"/>
        <v>32.553840000000093</v>
      </c>
      <c r="JH63" s="168">
        <f t="shared" si="388"/>
        <v>54.256400000000163</v>
      </c>
      <c r="JI63" s="157">
        <f t="shared" si="156"/>
        <v>467.07294520547964</v>
      </c>
      <c r="JJ63" s="168">
        <f t="shared" si="389"/>
        <v>0</v>
      </c>
      <c r="JK63" s="168">
        <f t="shared" si="390"/>
        <v>126.3986400000004</v>
      </c>
      <c r="JL63" s="168">
        <f t="shared" si="391"/>
        <v>196.24657534246643</v>
      </c>
      <c r="JM63" s="168">
        <f t="shared" si="160"/>
        <v>141.9901753424663</v>
      </c>
      <c r="JN63" s="168">
        <f t="shared" si="161"/>
        <v>365.42257534246698</v>
      </c>
      <c r="JO63" s="157">
        <f t="shared" si="162"/>
        <v>0</v>
      </c>
      <c r="JP63" s="168">
        <f t="shared" si="392"/>
        <v>32.553840000000093</v>
      </c>
      <c r="JR63" s="168">
        <f t="shared" si="393"/>
        <v>75.331200000000251</v>
      </c>
      <c r="JS63" s="168">
        <f t="shared" si="394"/>
        <v>32.553840000000093</v>
      </c>
      <c r="JT63" s="181"/>
      <c r="JW63" s="168">
        <f t="shared" ref="JW63:JX63" si="480">JW62</f>
        <v>2.5</v>
      </c>
      <c r="JX63" s="161">
        <f t="shared" si="480"/>
        <v>350</v>
      </c>
      <c r="JY63" s="161">
        <f t="shared" si="396"/>
        <v>525</v>
      </c>
      <c r="JZ63" s="161">
        <f t="shared" si="397"/>
        <v>875</v>
      </c>
      <c r="KA63" s="161">
        <v>304.00000000000102</v>
      </c>
      <c r="KB63" s="168">
        <f t="shared" si="398"/>
        <v>2.5</v>
      </c>
      <c r="KC63" s="161">
        <v>71.389999999999972</v>
      </c>
      <c r="KD63" s="161">
        <v>107.08499999999995</v>
      </c>
      <c r="KE63" s="161">
        <v>178.47499999999994</v>
      </c>
      <c r="KF63" s="168">
        <f t="shared" ref="KF63" si="481">KF62</f>
        <v>0.56785714285714284</v>
      </c>
      <c r="KG63" s="154">
        <f t="shared" si="167"/>
        <v>21</v>
      </c>
      <c r="KH63" s="154">
        <f t="shared" si="168"/>
        <v>17.5</v>
      </c>
      <c r="KI63" s="181">
        <f t="shared" si="400"/>
        <v>19.012499999999999</v>
      </c>
      <c r="KJ63" s="181">
        <f t="shared" si="401"/>
        <v>19.712500000000002</v>
      </c>
      <c r="KK63" s="181">
        <f t="shared" si="402"/>
        <v>17.5</v>
      </c>
      <c r="KL63" s="181">
        <f t="shared" si="403"/>
        <v>19.712500000000002</v>
      </c>
      <c r="KM63" s="181">
        <f t="shared" si="404"/>
        <v>19.712500000000002</v>
      </c>
      <c r="KN63" s="181">
        <f t="shared" si="253"/>
        <v>0</v>
      </c>
      <c r="KO63" s="181">
        <f t="shared" si="174"/>
        <v>17.5</v>
      </c>
      <c r="KP63" s="157">
        <f t="shared" si="405"/>
        <v>140.71500000000003</v>
      </c>
      <c r="KQ63" s="157">
        <f t="shared" si="46"/>
        <v>247.79999999999998</v>
      </c>
      <c r="KR63" s="157">
        <f t="shared" si="406"/>
        <v>0</v>
      </c>
      <c r="KS63" s="157">
        <f t="shared" si="407"/>
        <v>107.08499999999995</v>
      </c>
      <c r="KT63" s="157">
        <f t="shared" si="178"/>
        <v>308.7</v>
      </c>
      <c r="KU63" s="157">
        <f t="shared" si="179"/>
        <v>1976.2907176963326</v>
      </c>
      <c r="KV63" s="157">
        <f t="shared" si="408"/>
        <v>415.78499999999997</v>
      </c>
      <c r="KW63" s="200">
        <f t="shared" si="409"/>
        <v>0.21038655713804119</v>
      </c>
      <c r="KX63" s="157">
        <f t="shared" si="410"/>
        <v>415.78499999999991</v>
      </c>
      <c r="KY63" s="157">
        <f t="shared" si="411"/>
        <v>645.54794520547944</v>
      </c>
      <c r="KZ63" s="162">
        <f t="shared" si="47"/>
        <v>645.54794520547955</v>
      </c>
      <c r="LA63" s="157">
        <f t="shared" si="184"/>
        <v>645.54794520547955</v>
      </c>
      <c r="LB63" s="157">
        <f t="shared" si="185"/>
        <v>107.08499999999995</v>
      </c>
      <c r="LC63" s="207">
        <f t="shared" si="412"/>
        <v>258.21917808219183</v>
      </c>
      <c r="LD63" s="207">
        <f t="shared" si="187"/>
        <v>71.389999999999972</v>
      </c>
      <c r="LE63" s="157">
        <f t="shared" si="188"/>
        <v>71.389999999999972</v>
      </c>
      <c r="LF63" s="157">
        <f t="shared" si="413"/>
        <v>107.08499999999995</v>
      </c>
      <c r="LG63" s="157">
        <f t="shared" si="414"/>
        <v>178.47499999999994</v>
      </c>
      <c r="LH63" s="168">
        <f t="shared" si="415"/>
        <v>21.702560000000062</v>
      </c>
      <c r="LI63" s="168">
        <f t="shared" si="416"/>
        <v>32.553840000000093</v>
      </c>
      <c r="LJ63" s="168">
        <f t="shared" si="417"/>
        <v>54.256400000000163</v>
      </c>
      <c r="LK63" s="157">
        <f t="shared" si="194"/>
        <v>467.07294520547964</v>
      </c>
      <c r="LL63" s="168">
        <f t="shared" si="418"/>
        <v>0</v>
      </c>
      <c r="LM63" s="168">
        <f t="shared" si="419"/>
        <v>126.3986400000004</v>
      </c>
      <c r="LN63" s="168">
        <f t="shared" si="420"/>
        <v>196.24657534246643</v>
      </c>
      <c r="LO63" s="168">
        <f t="shared" si="198"/>
        <v>141.9901753424663</v>
      </c>
      <c r="LP63" s="168">
        <f t="shared" si="199"/>
        <v>365.42257534246698</v>
      </c>
      <c r="LQ63" s="157">
        <f t="shared" si="200"/>
        <v>0</v>
      </c>
      <c r="LR63" s="168">
        <f t="shared" si="421"/>
        <v>32.553840000000093</v>
      </c>
      <c r="LT63" s="168">
        <f t="shared" si="422"/>
        <v>75.331200000000251</v>
      </c>
      <c r="LU63" s="168">
        <f t="shared" si="423"/>
        <v>32.553840000000093</v>
      </c>
      <c r="LV63" s="181"/>
      <c r="LY63" s="168">
        <f t="shared" ref="LY63:LZ63" si="482">LY62</f>
        <v>2.5</v>
      </c>
      <c r="LZ63" s="161">
        <f t="shared" si="482"/>
        <v>350</v>
      </c>
      <c r="MA63" s="161">
        <f t="shared" si="425"/>
        <v>525</v>
      </c>
      <c r="MB63" s="161">
        <f t="shared" si="426"/>
        <v>875</v>
      </c>
      <c r="MC63" s="161">
        <v>304.00000000000102</v>
      </c>
      <c r="MD63" s="168">
        <f t="shared" si="427"/>
        <v>2.5</v>
      </c>
      <c r="ME63" s="161">
        <v>165.2</v>
      </c>
      <c r="MF63" s="161">
        <v>247.79999999999998</v>
      </c>
      <c r="MG63" s="161">
        <v>413</v>
      </c>
      <c r="MH63" s="168">
        <f t="shared" ref="MH63" si="483">MH62</f>
        <v>0.56785714285714284</v>
      </c>
      <c r="MI63" s="154">
        <f t="shared" si="205"/>
        <v>21</v>
      </c>
      <c r="MJ63" s="181">
        <f t="shared" si="429"/>
        <v>17.5</v>
      </c>
      <c r="MK63" s="181">
        <f t="shared" si="430"/>
        <v>17.5</v>
      </c>
      <c r="ML63" s="154">
        <f t="shared" si="208"/>
        <v>17.5</v>
      </c>
      <c r="MM63" s="181">
        <f t="shared" si="431"/>
        <v>17.5</v>
      </c>
      <c r="MN63" s="181">
        <f t="shared" si="432"/>
        <v>17.5</v>
      </c>
      <c r="MO63" s="181">
        <f t="shared" si="433"/>
        <v>17.5</v>
      </c>
      <c r="MP63" s="181">
        <f t="shared" si="212"/>
        <v>17.5</v>
      </c>
      <c r="MQ63" s="157">
        <f t="shared" si="434"/>
        <v>0</v>
      </c>
      <c r="MR63" s="157">
        <f t="shared" si="213"/>
        <v>247.79999999999998</v>
      </c>
      <c r="MS63" s="157">
        <f t="shared" si="435"/>
        <v>0</v>
      </c>
      <c r="MT63" s="157">
        <f t="shared" si="436"/>
        <v>247.79999999999998</v>
      </c>
      <c r="MU63" s="157">
        <f t="shared" si="216"/>
        <v>308.7</v>
      </c>
      <c r="MV63" s="157">
        <f t="shared" si="217"/>
        <v>1976.2907176963326</v>
      </c>
      <c r="MW63" s="157">
        <f t="shared" si="437"/>
        <v>556.5</v>
      </c>
      <c r="MX63" s="200">
        <f t="shared" si="438"/>
        <v>0.28158812618858292</v>
      </c>
      <c r="MY63" s="157">
        <f t="shared" si="439"/>
        <v>556.5</v>
      </c>
      <c r="MZ63" s="157">
        <f t="shared" si="440"/>
        <v>645.54794520547944</v>
      </c>
      <c r="NA63" s="162">
        <f t="shared" si="222"/>
        <v>645.54794520547944</v>
      </c>
      <c r="NB63" s="157">
        <f t="shared" si="223"/>
        <v>645.54794520547944</v>
      </c>
      <c r="NC63" s="157">
        <f t="shared" si="224"/>
        <v>247.79999999999998</v>
      </c>
      <c r="ND63" s="207">
        <f t="shared" si="441"/>
        <v>258.21917808219177</v>
      </c>
      <c r="NE63" s="207">
        <f t="shared" si="225"/>
        <v>165.2</v>
      </c>
      <c r="NF63" s="157">
        <f t="shared" si="226"/>
        <v>165.2</v>
      </c>
      <c r="NG63" s="157">
        <f t="shared" si="442"/>
        <v>247.79999999999998</v>
      </c>
      <c r="NH63" s="157">
        <f t="shared" si="443"/>
        <v>413</v>
      </c>
      <c r="NI63" s="168">
        <f t="shared" si="444"/>
        <v>50.220800000000168</v>
      </c>
      <c r="NJ63" s="168">
        <f t="shared" si="445"/>
        <v>75.331200000000251</v>
      </c>
      <c r="NK63" s="168">
        <f t="shared" si="446"/>
        <v>125.55200000000042</v>
      </c>
      <c r="NL63" s="157">
        <f t="shared" si="230"/>
        <v>232.54794520547944</v>
      </c>
      <c r="NM63" s="168">
        <f t="shared" si="447"/>
        <v>0</v>
      </c>
      <c r="NN63" s="168">
        <f t="shared" si="448"/>
        <v>169.17600000000056</v>
      </c>
      <c r="NO63" s="168">
        <f t="shared" si="449"/>
        <v>196.2465753424664</v>
      </c>
      <c r="NP63" s="168">
        <f t="shared" si="234"/>
        <v>70.694575342465996</v>
      </c>
      <c r="NQ63" s="168">
        <f t="shared" si="235"/>
        <v>365.42257534246698</v>
      </c>
      <c r="NR63" s="157">
        <f t="shared" si="236"/>
        <v>0</v>
      </c>
      <c r="NS63" s="168">
        <f t="shared" si="450"/>
        <v>75.331200000000251</v>
      </c>
      <c r="NT63" s="157">
        <f t="shared" si="319"/>
        <v>1202.0479452054794</v>
      </c>
      <c r="NU63" s="168">
        <f t="shared" si="451"/>
        <v>75.331200000000251</v>
      </c>
      <c r="NV63" s="168">
        <f t="shared" si="452"/>
        <v>75.331200000000251</v>
      </c>
      <c r="NX63" s="157"/>
      <c r="NY63" s="157"/>
      <c r="NZ63" s="157"/>
      <c r="OA63" s="157"/>
      <c r="OB63" s="157"/>
    </row>
    <row r="64" spans="1:392" ht="13" x14ac:dyDescent="0.3">
      <c r="A64" s="154">
        <v>93.664383561643831</v>
      </c>
      <c r="B64" s="154">
        <v>18.5</v>
      </c>
      <c r="C64" s="154">
        <f t="shared" si="320"/>
        <v>18.5</v>
      </c>
      <c r="D64" s="154">
        <v>57830.299999999945</v>
      </c>
      <c r="E64" s="200">
        <f t="shared" si="332"/>
        <v>348.37530120482012</v>
      </c>
      <c r="F64" s="181">
        <f t="shared" si="333"/>
        <v>220.5</v>
      </c>
      <c r="G64" s="161">
        <f t="shared" si="334"/>
        <v>165.99999999999943</v>
      </c>
      <c r="H64" s="154">
        <f t="shared" si="55"/>
        <v>0.2205</v>
      </c>
      <c r="I64" s="161">
        <f t="shared" si="56"/>
        <v>414.99999999999858</v>
      </c>
      <c r="J64" s="181">
        <f t="shared" si="57"/>
        <v>21</v>
      </c>
      <c r="K64" s="181">
        <f t="shared" si="58"/>
        <v>18.5</v>
      </c>
      <c r="L64" s="181">
        <f t="shared" si="59"/>
        <v>18.5</v>
      </c>
      <c r="M64" s="181">
        <f t="shared" si="60"/>
        <v>18.5</v>
      </c>
      <c r="N64" s="181">
        <f t="shared" si="61"/>
        <v>18.5</v>
      </c>
      <c r="O64" s="181">
        <f t="shared" si="62"/>
        <v>18.5</v>
      </c>
      <c r="P64" s="181">
        <f t="shared" si="63"/>
        <v>18.5</v>
      </c>
      <c r="Q64" s="181">
        <f t="shared" si="64"/>
        <v>20.355345911949687</v>
      </c>
      <c r="R64" s="168">
        <f t="shared" si="65"/>
        <v>48.969999999999828</v>
      </c>
      <c r="S64" s="161">
        <f t="shared" si="66"/>
        <v>107.16095890410922</v>
      </c>
      <c r="T64" s="161">
        <f t="shared" si="67"/>
        <v>34.90012492461446</v>
      </c>
      <c r="U64" s="161">
        <f t="shared" si="68"/>
        <v>28.65012492461446</v>
      </c>
      <c r="V64" s="154">
        <f t="shared" si="69"/>
        <v>0</v>
      </c>
      <c r="W64" s="154">
        <f t="shared" si="70"/>
        <v>0.35054794520547933</v>
      </c>
      <c r="X64" s="154">
        <f t="shared" si="71"/>
        <v>0.64554794520547942</v>
      </c>
      <c r="Y64" s="154">
        <f t="shared" si="72"/>
        <v>1.0430479452054793</v>
      </c>
      <c r="Z64" s="154">
        <f t="shared" si="321"/>
        <v>0.17699999999999999</v>
      </c>
      <c r="AA64" s="154">
        <f t="shared" si="322"/>
        <v>0.39750000000000002</v>
      </c>
      <c r="AB64" s="154">
        <f t="shared" si="323"/>
        <v>0.64554794520547942</v>
      </c>
      <c r="AC64" s="154">
        <f t="shared" si="324"/>
        <v>0.64554794520547942</v>
      </c>
      <c r="AD64" s="154">
        <f t="shared" si="325"/>
        <v>0.11799999999999999</v>
      </c>
      <c r="AE64" s="154">
        <f t="shared" si="326"/>
        <v>0.17699999999999999</v>
      </c>
      <c r="AF64" s="154">
        <f t="shared" si="327"/>
        <v>0.29499999999999998</v>
      </c>
      <c r="AG64" s="154">
        <f t="shared" si="75"/>
        <v>0</v>
      </c>
      <c r="AH64" s="154">
        <f t="shared" si="76"/>
        <v>0.29499999999999998</v>
      </c>
      <c r="AI64" s="154">
        <f t="shared" si="77"/>
        <v>0.58732876712328763</v>
      </c>
      <c r="AJ64" s="154">
        <f t="shared" si="78"/>
        <v>5.8219178082191785E-2</v>
      </c>
      <c r="AK64" s="154">
        <f t="shared" si="79"/>
        <v>0</v>
      </c>
      <c r="AL64" s="161">
        <f t="shared" si="80"/>
        <v>587.32876712328766</v>
      </c>
      <c r="AM64" s="161">
        <f t="shared" si="81"/>
        <v>58.219178082191782</v>
      </c>
      <c r="AN64" s="161">
        <f t="shared" si="82"/>
        <v>0</v>
      </c>
      <c r="AO64" s="161"/>
      <c r="AP64" s="154">
        <f t="shared" si="83"/>
        <v>0.64554794520547942</v>
      </c>
      <c r="AQ64" s="154">
        <f t="shared" si="84"/>
        <v>0.64554794520547942</v>
      </c>
      <c r="AR64" s="154">
        <f t="shared" si="85"/>
        <v>0.29499999999999998</v>
      </c>
      <c r="AS64" s="161"/>
      <c r="AT64" s="161"/>
      <c r="AU64" s="161"/>
      <c r="AV64" s="161"/>
      <c r="AW64" s="181"/>
      <c r="AX64" s="181"/>
      <c r="AY64" s="181"/>
      <c r="AZ64" s="181"/>
      <c r="BA64" s="181"/>
      <c r="BB64" s="161"/>
      <c r="BC64" s="161"/>
      <c r="BD64" s="161"/>
      <c r="BE64" s="181"/>
      <c r="BF64" s="168"/>
      <c r="BG64" s="181"/>
      <c r="BH64" s="168"/>
      <c r="BI64" s="168"/>
      <c r="BJ64" s="161"/>
      <c r="BK64" s="168"/>
      <c r="BL64" s="168"/>
      <c r="BM64" s="168"/>
      <c r="BN64" s="168"/>
      <c r="BO64" s="168">
        <f t="shared" si="335"/>
        <v>97.49657534246542</v>
      </c>
      <c r="BP64" s="168">
        <f t="shared" si="336"/>
        <v>9.6643835616438025</v>
      </c>
      <c r="BQ64" s="168">
        <f t="shared" si="337"/>
        <v>0</v>
      </c>
      <c r="BR64" s="181"/>
      <c r="BS64" s="161"/>
      <c r="BT64" s="168"/>
      <c r="BU64" s="161"/>
      <c r="BV64" s="161"/>
      <c r="BW64" s="161"/>
      <c r="BX64" s="161"/>
      <c r="CB64" s="181">
        <f t="shared" si="453"/>
        <v>319.46067350662094</v>
      </c>
      <c r="CC64" s="181">
        <f t="shared" si="453"/>
        <v>0</v>
      </c>
      <c r="CD64" s="181">
        <f t="shared" si="453"/>
        <v>373.38964020474793</v>
      </c>
      <c r="CE64" s="181">
        <f t="shared" si="453"/>
        <v>0</v>
      </c>
      <c r="CF64" s="181">
        <f t="shared" si="453"/>
        <v>1242.0545746283515</v>
      </c>
      <c r="CG64" s="181">
        <f t="shared" si="453"/>
        <v>0</v>
      </c>
      <c r="CH64" s="181">
        <f t="shared" si="453"/>
        <v>373.87773123769529</v>
      </c>
      <c r="CI64" s="181">
        <f t="shared" si="453"/>
        <v>0</v>
      </c>
      <c r="CJ64" s="182">
        <f t="shared" si="338"/>
        <v>2308.7826195774155</v>
      </c>
      <c r="CK64" s="161">
        <f t="shared" si="339"/>
        <v>2308.7826195774155</v>
      </c>
      <c r="CL64" s="161">
        <f t="shared" si="243"/>
        <v>529.19999999999993</v>
      </c>
      <c r="CM64" s="182">
        <f t="shared" si="340"/>
        <v>2837.9826195774153</v>
      </c>
      <c r="CN64" s="157">
        <f t="shared" si="341"/>
        <v>383.25791484984967</v>
      </c>
      <c r="CO64" s="162">
        <f t="shared" si="342"/>
        <v>2837.9826195774153</v>
      </c>
      <c r="FT64" s="168">
        <f t="shared" si="244"/>
        <v>2.5</v>
      </c>
      <c r="FU64" s="161">
        <f t="shared" si="245"/>
        <v>350</v>
      </c>
      <c r="FV64" s="161">
        <f t="shared" si="343"/>
        <v>525</v>
      </c>
      <c r="FW64" s="161">
        <f t="shared" si="344"/>
        <v>875</v>
      </c>
      <c r="FX64" s="161">
        <v>305.00000000000102</v>
      </c>
      <c r="FY64" s="168">
        <f t="shared" si="345"/>
        <v>2.5</v>
      </c>
      <c r="FZ64" s="161">
        <v>118.00000000232001</v>
      </c>
      <c r="GA64" s="161">
        <v>177.00000000348001</v>
      </c>
      <c r="GB64" s="161">
        <v>295.00000000580002</v>
      </c>
      <c r="GC64" s="168">
        <f t="shared" si="246"/>
        <v>0.56785714285714284</v>
      </c>
      <c r="GD64" s="154">
        <f t="shared" si="97"/>
        <v>21</v>
      </c>
      <c r="GE64" s="181">
        <f t="shared" si="346"/>
        <v>18.5</v>
      </c>
      <c r="GF64" s="181">
        <f t="shared" si="347"/>
        <v>18.5</v>
      </c>
      <c r="GG64" s="154">
        <f t="shared" si="99"/>
        <v>18.5</v>
      </c>
      <c r="GH64" s="181">
        <f t="shared" si="348"/>
        <v>18.5</v>
      </c>
      <c r="GI64" s="181">
        <f t="shared" si="349"/>
        <v>23.138364779965411</v>
      </c>
      <c r="GJ64" s="181">
        <f t="shared" si="102"/>
        <v>23.138364779965411</v>
      </c>
      <c r="GK64" s="181">
        <f t="shared" si="103"/>
        <v>18.5</v>
      </c>
      <c r="GL64" s="157">
        <f t="shared" si="350"/>
        <v>0</v>
      </c>
      <c r="GM64" s="157">
        <f t="shared" si="105"/>
        <v>177</v>
      </c>
      <c r="GN64" s="157">
        <f t="shared" si="106"/>
        <v>0</v>
      </c>
      <c r="GO64" s="157">
        <f t="shared" si="107"/>
        <v>177</v>
      </c>
      <c r="GP64" s="157">
        <f t="shared" si="108"/>
        <v>220.5</v>
      </c>
      <c r="GQ64" s="157">
        <f t="shared" si="109"/>
        <v>2837.9826195774153</v>
      </c>
      <c r="GR64" s="157">
        <f t="shared" si="351"/>
        <v>397.5</v>
      </c>
      <c r="GS64" s="200">
        <f t="shared" si="352"/>
        <v>0.14006428272601226</v>
      </c>
      <c r="GT64" s="157">
        <f t="shared" si="353"/>
        <v>397.5</v>
      </c>
      <c r="GU64" s="157">
        <f t="shared" si="354"/>
        <v>645.54794520547944</v>
      </c>
      <c r="GV64" s="162">
        <f t="shared" si="114"/>
        <v>645.54794520547944</v>
      </c>
      <c r="GW64" s="157">
        <f t="shared" si="355"/>
        <v>645.54794520547944</v>
      </c>
      <c r="GX64" s="157">
        <f t="shared" si="247"/>
        <v>177</v>
      </c>
      <c r="GY64" s="207">
        <f t="shared" si="356"/>
        <v>258.21917808219177</v>
      </c>
      <c r="GZ64" s="207">
        <f t="shared" si="116"/>
        <v>118</v>
      </c>
      <c r="HA64" s="157">
        <f t="shared" si="117"/>
        <v>118.00000000023201</v>
      </c>
      <c r="HB64" s="157">
        <f t="shared" si="357"/>
        <v>177.000000000348</v>
      </c>
      <c r="HC64" s="157">
        <f t="shared" si="358"/>
        <v>295.00000000058003</v>
      </c>
      <c r="HD64" s="168">
        <f t="shared" si="359"/>
        <v>35.990000000070879</v>
      </c>
      <c r="HE64" s="168">
        <f t="shared" si="360"/>
        <v>53.985000000106318</v>
      </c>
      <c r="HF64" s="168">
        <f t="shared" si="361"/>
        <v>89.975000000177204</v>
      </c>
      <c r="HG64" s="157">
        <f t="shared" si="119"/>
        <v>350.54794520489941</v>
      </c>
      <c r="HH64" s="168">
        <f t="shared" si="362"/>
        <v>0</v>
      </c>
      <c r="HI64" s="168">
        <f t="shared" si="363"/>
        <v>121.23750000000041</v>
      </c>
      <c r="HJ64" s="168">
        <f t="shared" si="364"/>
        <v>196.89212328767189</v>
      </c>
      <c r="HK64" s="168">
        <f t="shared" si="123"/>
        <v>106.91712328749468</v>
      </c>
      <c r="HL64" s="168">
        <f t="shared" si="124"/>
        <v>318.1296232876723</v>
      </c>
      <c r="HM64" s="157">
        <f t="shared" si="125"/>
        <v>295.00000000580008</v>
      </c>
      <c r="HN64" s="168">
        <f t="shared" si="365"/>
        <v>53.985000000106318</v>
      </c>
      <c r="HP64" s="168">
        <f t="shared" si="366"/>
        <v>53.985000000000177</v>
      </c>
      <c r="HQ64" s="168">
        <f t="shared" si="367"/>
        <v>53.985000000000177</v>
      </c>
      <c r="HR64" s="181"/>
      <c r="HU64" s="168">
        <f t="shared" ref="HU64:HV64" si="484">HU63</f>
        <v>2.5</v>
      </c>
      <c r="HV64" s="161">
        <f t="shared" si="484"/>
        <v>350</v>
      </c>
      <c r="HW64" s="161">
        <f t="shared" si="369"/>
        <v>525</v>
      </c>
      <c r="HX64" s="161">
        <f t="shared" si="370"/>
        <v>875</v>
      </c>
      <c r="HY64" s="161">
        <v>305.00000000000102</v>
      </c>
      <c r="HZ64" s="168">
        <f t="shared" si="371"/>
        <v>2.5</v>
      </c>
      <c r="IA64" s="161">
        <v>50.992857142857112</v>
      </c>
      <c r="IB64" s="161">
        <v>76.489285714285671</v>
      </c>
      <c r="IC64" s="161">
        <v>127.48214285714278</v>
      </c>
      <c r="ID64" s="168">
        <f t="shared" ref="ID64" si="485">ID63</f>
        <v>0.56785714285714284</v>
      </c>
      <c r="IE64" s="154">
        <f t="shared" si="130"/>
        <v>21</v>
      </c>
      <c r="IF64" s="154">
        <f t="shared" si="131"/>
        <v>18.5</v>
      </c>
      <c r="IG64" s="181">
        <f t="shared" si="373"/>
        <v>19.580357142857142</v>
      </c>
      <c r="IH64" s="181">
        <f t="shared" si="374"/>
        <v>20.080357142857142</v>
      </c>
      <c r="II64" s="181">
        <f t="shared" si="375"/>
        <v>18.5</v>
      </c>
      <c r="IJ64" s="181">
        <f t="shared" si="376"/>
        <v>22.084793351302785</v>
      </c>
      <c r="IK64" s="181">
        <f t="shared" si="377"/>
        <v>22.084793351302785</v>
      </c>
      <c r="IL64" s="181">
        <f t="shared" si="250"/>
        <v>0</v>
      </c>
      <c r="IM64" s="181">
        <f t="shared" si="137"/>
        <v>18.5</v>
      </c>
      <c r="IN64" s="157">
        <f t="shared" si="378"/>
        <v>100.51071428571431</v>
      </c>
      <c r="IO64" s="157">
        <f t="shared" si="139"/>
        <v>177</v>
      </c>
      <c r="IP64" s="157">
        <f t="shared" si="42"/>
        <v>0</v>
      </c>
      <c r="IQ64" s="157">
        <f t="shared" si="43"/>
        <v>76.489285714285685</v>
      </c>
      <c r="IR64" s="157">
        <f t="shared" si="140"/>
        <v>220.5</v>
      </c>
      <c r="IS64" s="157">
        <f t="shared" si="141"/>
        <v>2837.9826195774153</v>
      </c>
      <c r="IT64" s="157">
        <f t="shared" si="379"/>
        <v>296.9892857142857</v>
      </c>
      <c r="IU64" s="200">
        <f t="shared" si="380"/>
        <v>0.10464802837957772</v>
      </c>
      <c r="IV64" s="157">
        <f t="shared" si="381"/>
        <v>296.9892857142857</v>
      </c>
      <c r="IW64" s="157">
        <f t="shared" si="382"/>
        <v>645.54794520547944</v>
      </c>
      <c r="IX64" s="162">
        <f t="shared" si="146"/>
        <v>645.54794520547944</v>
      </c>
      <c r="IY64" s="157">
        <f t="shared" si="22"/>
        <v>645.54794520547944</v>
      </c>
      <c r="IZ64" s="157">
        <f t="shared" si="147"/>
        <v>76.489285714285671</v>
      </c>
      <c r="JA64" s="207">
        <f t="shared" si="383"/>
        <v>258.21917808219177</v>
      </c>
      <c r="JB64" s="207">
        <f t="shared" si="149"/>
        <v>50.992857142857112</v>
      </c>
      <c r="JC64" s="157">
        <f t="shared" si="150"/>
        <v>50.992857142857112</v>
      </c>
      <c r="JD64" s="157">
        <f t="shared" si="384"/>
        <v>76.489285714285671</v>
      </c>
      <c r="JE64" s="157">
        <f t="shared" si="385"/>
        <v>127.48214285714278</v>
      </c>
      <c r="JF64" s="168">
        <f t="shared" si="386"/>
        <v>15.552821428571471</v>
      </c>
      <c r="JG64" s="168">
        <f t="shared" si="387"/>
        <v>23.329232142857208</v>
      </c>
      <c r="JH64" s="168">
        <f t="shared" si="388"/>
        <v>38.882053571428671</v>
      </c>
      <c r="JI64" s="157">
        <f t="shared" si="156"/>
        <v>518.06580234833666</v>
      </c>
      <c r="JJ64" s="168">
        <f t="shared" si="389"/>
        <v>0</v>
      </c>
      <c r="JK64" s="168">
        <f t="shared" si="390"/>
        <v>90.581732142857433</v>
      </c>
      <c r="JL64" s="168">
        <f t="shared" si="391"/>
        <v>196.89212328767189</v>
      </c>
      <c r="JM64" s="168">
        <f t="shared" si="160"/>
        <v>158.01006971624321</v>
      </c>
      <c r="JN64" s="168">
        <f t="shared" si="161"/>
        <v>318.1296232876723</v>
      </c>
      <c r="JO64" s="157">
        <f t="shared" si="162"/>
        <v>0</v>
      </c>
      <c r="JP64" s="168">
        <f t="shared" si="392"/>
        <v>23.329232142857208</v>
      </c>
      <c r="JR64" s="168">
        <f t="shared" si="393"/>
        <v>53.985000000000177</v>
      </c>
      <c r="JS64" s="168">
        <f t="shared" si="394"/>
        <v>23.329232142857215</v>
      </c>
      <c r="JT64" s="181"/>
      <c r="JW64" s="168">
        <f t="shared" ref="JW64:JX64" si="486">JW63</f>
        <v>2.5</v>
      </c>
      <c r="JX64" s="161">
        <f t="shared" si="486"/>
        <v>350</v>
      </c>
      <c r="JY64" s="161">
        <f t="shared" si="396"/>
        <v>525</v>
      </c>
      <c r="JZ64" s="161">
        <f t="shared" si="397"/>
        <v>875</v>
      </c>
      <c r="KA64" s="161">
        <v>305.00000000000102</v>
      </c>
      <c r="KB64" s="168">
        <f t="shared" si="398"/>
        <v>2.5</v>
      </c>
      <c r="KC64" s="161">
        <v>50.992857142857112</v>
      </c>
      <c r="KD64" s="161">
        <v>76.489285714285671</v>
      </c>
      <c r="KE64" s="161">
        <v>127.48214285714278</v>
      </c>
      <c r="KF64" s="168">
        <f t="shared" ref="KF64" si="487">KF63</f>
        <v>0.56785714285714284</v>
      </c>
      <c r="KG64" s="154">
        <f t="shared" si="167"/>
        <v>21</v>
      </c>
      <c r="KH64" s="154">
        <f t="shared" si="168"/>
        <v>18.5</v>
      </c>
      <c r="KI64" s="181">
        <f t="shared" si="400"/>
        <v>19.580357142857142</v>
      </c>
      <c r="KJ64" s="181">
        <f t="shared" si="401"/>
        <v>20.080357142857142</v>
      </c>
      <c r="KK64" s="181">
        <f t="shared" si="402"/>
        <v>18.5</v>
      </c>
      <c r="KL64" s="181">
        <f t="shared" si="403"/>
        <v>20.080357142857142</v>
      </c>
      <c r="KM64" s="181">
        <f t="shared" si="404"/>
        <v>20.080357142857142</v>
      </c>
      <c r="KN64" s="181">
        <f t="shared" si="253"/>
        <v>0</v>
      </c>
      <c r="KO64" s="181">
        <f t="shared" si="174"/>
        <v>18.5</v>
      </c>
      <c r="KP64" s="157">
        <f t="shared" si="405"/>
        <v>100.51071428571431</v>
      </c>
      <c r="KQ64" s="157">
        <f t="shared" si="46"/>
        <v>177</v>
      </c>
      <c r="KR64" s="157">
        <f t="shared" si="406"/>
        <v>0</v>
      </c>
      <c r="KS64" s="157">
        <f t="shared" si="407"/>
        <v>76.489285714285685</v>
      </c>
      <c r="KT64" s="157">
        <f t="shared" si="178"/>
        <v>220.5</v>
      </c>
      <c r="KU64" s="157">
        <f t="shared" si="179"/>
        <v>2837.9826195774153</v>
      </c>
      <c r="KV64" s="157">
        <f t="shared" si="408"/>
        <v>296.9892857142857</v>
      </c>
      <c r="KW64" s="200">
        <f t="shared" si="409"/>
        <v>0.10464802837957772</v>
      </c>
      <c r="KX64" s="157">
        <f t="shared" si="410"/>
        <v>296.9892857142857</v>
      </c>
      <c r="KY64" s="157">
        <f t="shared" si="411"/>
        <v>645.54794520547944</v>
      </c>
      <c r="KZ64" s="162">
        <f t="shared" si="47"/>
        <v>645.54794520547944</v>
      </c>
      <c r="LA64" s="157">
        <f t="shared" si="184"/>
        <v>645.54794520547944</v>
      </c>
      <c r="LB64" s="157">
        <f t="shared" si="185"/>
        <v>76.489285714285671</v>
      </c>
      <c r="LC64" s="207">
        <f t="shared" si="412"/>
        <v>258.21917808219177</v>
      </c>
      <c r="LD64" s="207">
        <f t="shared" si="187"/>
        <v>50.992857142857112</v>
      </c>
      <c r="LE64" s="157">
        <f t="shared" si="188"/>
        <v>50.992857142857112</v>
      </c>
      <c r="LF64" s="157">
        <f t="shared" si="413"/>
        <v>76.489285714285671</v>
      </c>
      <c r="LG64" s="157">
        <f t="shared" si="414"/>
        <v>127.48214285714278</v>
      </c>
      <c r="LH64" s="168">
        <f t="shared" si="415"/>
        <v>15.552821428571471</v>
      </c>
      <c r="LI64" s="168">
        <f t="shared" si="416"/>
        <v>23.329232142857208</v>
      </c>
      <c r="LJ64" s="168">
        <f t="shared" si="417"/>
        <v>38.882053571428671</v>
      </c>
      <c r="LK64" s="157">
        <f t="shared" si="194"/>
        <v>518.06580234833666</v>
      </c>
      <c r="LL64" s="168">
        <f t="shared" si="418"/>
        <v>0</v>
      </c>
      <c r="LM64" s="168">
        <f t="shared" si="419"/>
        <v>90.581732142857433</v>
      </c>
      <c r="LN64" s="168">
        <f t="shared" si="420"/>
        <v>196.89212328767189</v>
      </c>
      <c r="LO64" s="168">
        <f t="shared" si="198"/>
        <v>158.01006971624321</v>
      </c>
      <c r="LP64" s="168">
        <f t="shared" si="199"/>
        <v>318.1296232876723</v>
      </c>
      <c r="LQ64" s="157">
        <f t="shared" si="200"/>
        <v>0</v>
      </c>
      <c r="LR64" s="168">
        <f t="shared" si="421"/>
        <v>23.329232142857208</v>
      </c>
      <c r="LT64" s="168">
        <f t="shared" si="422"/>
        <v>53.985000000000177</v>
      </c>
      <c r="LU64" s="168">
        <f t="shared" si="423"/>
        <v>23.329232142857215</v>
      </c>
      <c r="LV64" s="181"/>
      <c r="LY64" s="168">
        <f t="shared" ref="LY64:LZ64" si="488">LY63</f>
        <v>2.5</v>
      </c>
      <c r="LZ64" s="161">
        <f t="shared" si="488"/>
        <v>350</v>
      </c>
      <c r="MA64" s="161">
        <f t="shared" si="425"/>
        <v>525</v>
      </c>
      <c r="MB64" s="161">
        <f t="shared" si="426"/>
        <v>875</v>
      </c>
      <c r="MC64" s="161">
        <v>305.00000000000102</v>
      </c>
      <c r="MD64" s="168">
        <f t="shared" si="427"/>
        <v>2.5</v>
      </c>
      <c r="ME64" s="161">
        <v>118</v>
      </c>
      <c r="MF64" s="161">
        <v>177</v>
      </c>
      <c r="MG64" s="161">
        <v>295</v>
      </c>
      <c r="MH64" s="168">
        <f t="shared" ref="MH64" si="489">MH63</f>
        <v>0.56785714285714284</v>
      </c>
      <c r="MI64" s="154">
        <f t="shared" si="205"/>
        <v>21</v>
      </c>
      <c r="MJ64" s="181">
        <f t="shared" si="429"/>
        <v>18.5</v>
      </c>
      <c r="MK64" s="181">
        <f t="shared" si="430"/>
        <v>18.5</v>
      </c>
      <c r="ML64" s="154">
        <f t="shared" si="208"/>
        <v>18.5</v>
      </c>
      <c r="MM64" s="181">
        <f t="shared" si="431"/>
        <v>18.5</v>
      </c>
      <c r="MN64" s="181">
        <f t="shared" si="432"/>
        <v>18.5</v>
      </c>
      <c r="MO64" s="181">
        <f t="shared" si="433"/>
        <v>18.5</v>
      </c>
      <c r="MP64" s="181">
        <f t="shared" si="212"/>
        <v>18.5</v>
      </c>
      <c r="MQ64" s="157">
        <f t="shared" si="434"/>
        <v>0</v>
      </c>
      <c r="MR64" s="157">
        <f t="shared" si="213"/>
        <v>177</v>
      </c>
      <c r="MS64" s="157">
        <f t="shared" si="435"/>
        <v>0</v>
      </c>
      <c r="MT64" s="157">
        <f t="shared" si="436"/>
        <v>177</v>
      </c>
      <c r="MU64" s="157">
        <f t="shared" si="216"/>
        <v>220.5</v>
      </c>
      <c r="MV64" s="157">
        <f t="shared" si="217"/>
        <v>2837.9826195774153</v>
      </c>
      <c r="MW64" s="157">
        <f t="shared" si="437"/>
        <v>397.5</v>
      </c>
      <c r="MX64" s="200">
        <f t="shared" si="438"/>
        <v>0.14006428272601226</v>
      </c>
      <c r="MY64" s="157">
        <f t="shared" si="439"/>
        <v>397.5</v>
      </c>
      <c r="MZ64" s="157">
        <f t="shared" si="440"/>
        <v>645.54794520547944</v>
      </c>
      <c r="NA64" s="162">
        <f t="shared" si="222"/>
        <v>645.54794520547944</v>
      </c>
      <c r="NB64" s="157">
        <f t="shared" si="223"/>
        <v>645.54794520547944</v>
      </c>
      <c r="NC64" s="157">
        <f t="shared" si="224"/>
        <v>177</v>
      </c>
      <c r="ND64" s="207">
        <f t="shared" si="441"/>
        <v>258.21917808219177</v>
      </c>
      <c r="NE64" s="207">
        <f t="shared" si="225"/>
        <v>118</v>
      </c>
      <c r="NF64" s="157">
        <f t="shared" si="226"/>
        <v>118</v>
      </c>
      <c r="NG64" s="157">
        <f t="shared" si="442"/>
        <v>177</v>
      </c>
      <c r="NH64" s="157">
        <f t="shared" si="443"/>
        <v>295</v>
      </c>
      <c r="NI64" s="168">
        <f t="shared" si="444"/>
        <v>35.990000000000116</v>
      </c>
      <c r="NJ64" s="168">
        <f t="shared" si="445"/>
        <v>53.985000000000177</v>
      </c>
      <c r="NK64" s="168">
        <f t="shared" si="446"/>
        <v>89.975000000000293</v>
      </c>
      <c r="NL64" s="157">
        <f t="shared" si="230"/>
        <v>350.54794520547944</v>
      </c>
      <c r="NM64" s="168">
        <f t="shared" si="447"/>
        <v>0</v>
      </c>
      <c r="NN64" s="168">
        <f t="shared" si="448"/>
        <v>121.23750000000041</v>
      </c>
      <c r="NO64" s="168">
        <f t="shared" si="449"/>
        <v>196.89212328767189</v>
      </c>
      <c r="NP64" s="168">
        <f t="shared" si="234"/>
        <v>106.91712328767159</v>
      </c>
      <c r="NQ64" s="168">
        <f t="shared" si="235"/>
        <v>318.1296232876723</v>
      </c>
      <c r="NR64" s="157">
        <f t="shared" si="236"/>
        <v>0</v>
      </c>
      <c r="NS64" s="168">
        <f t="shared" si="450"/>
        <v>53.985000000000177</v>
      </c>
      <c r="NT64" s="157">
        <f t="shared" si="319"/>
        <v>1043.0479452054794</v>
      </c>
      <c r="NU64" s="168">
        <f t="shared" si="451"/>
        <v>53.985000000000177</v>
      </c>
      <c r="NV64" s="168">
        <f t="shared" si="452"/>
        <v>53.985000000000177</v>
      </c>
      <c r="NX64" s="157"/>
      <c r="NY64" s="157"/>
      <c r="NZ64" s="157"/>
      <c r="OA64" s="157"/>
      <c r="OB64" s="157"/>
    </row>
    <row r="65" spans="1:392" ht="13" x14ac:dyDescent="0.3">
      <c r="A65" s="154">
        <v>95.479452054794521</v>
      </c>
      <c r="B65" s="154">
        <v>19.5</v>
      </c>
      <c r="C65" s="154">
        <f t="shared" si="320"/>
        <v>19.5</v>
      </c>
      <c r="D65" s="154">
        <v>64114.6</v>
      </c>
      <c r="E65" s="200">
        <f t="shared" si="332"/>
        <v>403.23647798742013</v>
      </c>
      <c r="F65" s="181">
        <f t="shared" si="333"/>
        <v>132.30000000000001</v>
      </c>
      <c r="G65" s="161">
        <f t="shared" si="334"/>
        <v>159.00000000000048</v>
      </c>
      <c r="H65" s="154">
        <f t="shared" si="55"/>
        <v>0.1323</v>
      </c>
      <c r="I65" s="161">
        <f t="shared" si="56"/>
        <v>238.50000000000074</v>
      </c>
      <c r="J65" s="181">
        <f t="shared" si="57"/>
        <v>21</v>
      </c>
      <c r="K65" s="181">
        <f t="shared" si="58"/>
        <v>19.5</v>
      </c>
      <c r="L65" s="181">
        <f t="shared" si="59"/>
        <v>19.5</v>
      </c>
      <c r="M65" s="181">
        <f t="shared" si="60"/>
        <v>19.5</v>
      </c>
      <c r="N65" s="181">
        <f t="shared" si="61"/>
        <v>19.5</v>
      </c>
      <c r="O65" s="181">
        <f t="shared" si="62"/>
        <v>19.5</v>
      </c>
      <c r="P65" s="181">
        <f t="shared" si="63"/>
        <v>19.5</v>
      </c>
      <c r="Q65" s="181">
        <f t="shared" si="64"/>
        <v>20.613207547169811</v>
      </c>
      <c r="R65" s="168">
        <f t="shared" si="65"/>
        <v>28.143000000000082</v>
      </c>
      <c r="S65" s="161">
        <f t="shared" si="66"/>
        <v>102.64212328767155</v>
      </c>
      <c r="T65" s="161">
        <f t="shared" si="67"/>
        <v>33.40012492461446</v>
      </c>
      <c r="U65" s="161">
        <f t="shared" si="68"/>
        <v>29.65012492461446</v>
      </c>
      <c r="V65" s="154">
        <f t="shared" si="69"/>
        <v>0</v>
      </c>
      <c r="W65" s="154">
        <f t="shared" si="70"/>
        <v>0.46854794520547954</v>
      </c>
      <c r="X65" s="154">
        <f t="shared" si="71"/>
        <v>0.64554794520547953</v>
      </c>
      <c r="Y65" s="154">
        <f t="shared" si="72"/>
        <v>0.88404794520547947</v>
      </c>
      <c r="Z65" s="154">
        <f t="shared" si="321"/>
        <v>0.10619999999999999</v>
      </c>
      <c r="AA65" s="154">
        <f t="shared" si="322"/>
        <v>0.23849999999999999</v>
      </c>
      <c r="AB65" s="154">
        <f t="shared" si="323"/>
        <v>0.64554794520547942</v>
      </c>
      <c r="AC65" s="154">
        <f t="shared" si="324"/>
        <v>0.64554794520547942</v>
      </c>
      <c r="AD65" s="154">
        <f t="shared" si="325"/>
        <v>7.0800000000000002E-2</v>
      </c>
      <c r="AE65" s="154">
        <f t="shared" si="326"/>
        <v>0.10619999999999999</v>
      </c>
      <c r="AF65" s="154">
        <f t="shared" si="327"/>
        <v>0.17699999999999999</v>
      </c>
      <c r="AG65" s="154">
        <f t="shared" si="75"/>
        <v>0</v>
      </c>
      <c r="AH65" s="154">
        <f t="shared" si="76"/>
        <v>0.17699999999999999</v>
      </c>
      <c r="AI65" s="154">
        <f t="shared" si="77"/>
        <v>0.58732876712328763</v>
      </c>
      <c r="AJ65" s="154">
        <f t="shared" si="78"/>
        <v>5.8219178082191785E-2</v>
      </c>
      <c r="AK65" s="154">
        <f t="shared" si="79"/>
        <v>0</v>
      </c>
      <c r="AL65" s="161">
        <f t="shared" si="80"/>
        <v>587.32876712328766</v>
      </c>
      <c r="AM65" s="161">
        <f t="shared" si="81"/>
        <v>58.219178082191782</v>
      </c>
      <c r="AN65" s="161">
        <f t="shared" si="82"/>
        <v>0</v>
      </c>
      <c r="AO65" s="161"/>
      <c r="AP65" s="154">
        <f t="shared" si="83"/>
        <v>0.64554794520547942</v>
      </c>
      <c r="AQ65" s="154">
        <f t="shared" si="84"/>
        <v>0.64554794520547942</v>
      </c>
      <c r="AR65" s="154">
        <f t="shared" si="85"/>
        <v>0.17699999999999999</v>
      </c>
      <c r="AS65" s="161"/>
      <c r="AT65" s="161"/>
      <c r="AU65" s="161"/>
      <c r="AV65" s="161"/>
      <c r="AW65" s="181"/>
      <c r="AX65" s="181"/>
      <c r="AY65" s="181"/>
      <c r="AZ65" s="181"/>
      <c r="BA65" s="181"/>
      <c r="BB65" s="161"/>
      <c r="BC65" s="161"/>
      <c r="BD65" s="161"/>
      <c r="BE65" s="181"/>
      <c r="BF65" s="168"/>
      <c r="BG65" s="181"/>
      <c r="BH65" s="168"/>
      <c r="BI65" s="168"/>
      <c r="BJ65" s="161"/>
      <c r="BK65" s="168"/>
      <c r="BL65" s="168"/>
      <c r="BM65" s="168"/>
      <c r="BN65" s="168"/>
      <c r="BO65" s="168">
        <f t="shared" si="335"/>
        <v>93.385273972603017</v>
      </c>
      <c r="BP65" s="168">
        <f t="shared" si="336"/>
        <v>9.2568493150685214</v>
      </c>
      <c r="BQ65" s="168">
        <f t="shared" si="337"/>
        <v>0</v>
      </c>
      <c r="BR65" s="181"/>
      <c r="BS65" s="161"/>
      <c r="BT65" s="168"/>
      <c r="BU65" s="161"/>
      <c r="BV65" s="161"/>
      <c r="BW65" s="161"/>
      <c r="BX65" s="161"/>
      <c r="CB65" s="181">
        <f t="shared" si="453"/>
        <v>369.76845486690496</v>
      </c>
      <c r="CC65" s="181">
        <f t="shared" si="453"/>
        <v>0</v>
      </c>
      <c r="CD65" s="181">
        <f t="shared" si="453"/>
        <v>432.19000575655434</v>
      </c>
      <c r="CE65" s="181">
        <f t="shared" si="453"/>
        <v>0</v>
      </c>
      <c r="CF65" s="181">
        <f t="shared" si="453"/>
        <v>1437.6498862266933</v>
      </c>
      <c r="CG65" s="181">
        <f t="shared" si="453"/>
        <v>0</v>
      </c>
      <c r="CH65" s="181">
        <f t="shared" si="453"/>
        <v>432.75496001244528</v>
      </c>
      <c r="CI65" s="181">
        <f t="shared" si="453"/>
        <v>0</v>
      </c>
      <c r="CJ65" s="182">
        <f t="shared" si="338"/>
        <v>2672.3633068625982</v>
      </c>
      <c r="CK65" s="161">
        <f t="shared" si="339"/>
        <v>2672.3633068625982</v>
      </c>
      <c r="CL65" s="161">
        <f t="shared" si="243"/>
        <v>529.19999999999993</v>
      </c>
      <c r="CM65" s="182">
        <f t="shared" si="340"/>
        <v>3201.563306862598</v>
      </c>
      <c r="CN65" s="157">
        <f t="shared" si="341"/>
        <v>424.90576579115441</v>
      </c>
      <c r="CO65" s="162">
        <f t="shared" si="342"/>
        <v>3201.563306862598</v>
      </c>
      <c r="FT65" s="168">
        <f t="shared" si="244"/>
        <v>2.5</v>
      </c>
      <c r="FU65" s="161">
        <f t="shared" si="245"/>
        <v>350</v>
      </c>
      <c r="FV65" s="161">
        <f t="shared" si="343"/>
        <v>525</v>
      </c>
      <c r="FW65" s="161">
        <f t="shared" si="344"/>
        <v>875</v>
      </c>
      <c r="FX65" s="161">
        <v>306.00000000000102</v>
      </c>
      <c r="FY65" s="168">
        <f t="shared" si="345"/>
        <v>2.5</v>
      </c>
      <c r="FZ65" s="161">
        <v>70.80000000279199</v>
      </c>
      <c r="GA65" s="161">
        <v>106.20000000418798</v>
      </c>
      <c r="GB65" s="161">
        <v>177.00000000697997</v>
      </c>
      <c r="GC65" s="168">
        <f t="shared" si="246"/>
        <v>0.56785714285714284</v>
      </c>
      <c r="GD65" s="154">
        <f t="shared" si="97"/>
        <v>21</v>
      </c>
      <c r="GE65" s="181">
        <f t="shared" si="346"/>
        <v>19.5</v>
      </c>
      <c r="GF65" s="181">
        <f t="shared" si="347"/>
        <v>19.5</v>
      </c>
      <c r="GG65" s="154">
        <f t="shared" si="99"/>
        <v>19.5</v>
      </c>
      <c r="GH65" s="181">
        <f t="shared" si="348"/>
        <v>19.5</v>
      </c>
      <c r="GI65" s="181">
        <f t="shared" si="349"/>
        <v>22.283018868034276</v>
      </c>
      <c r="GJ65" s="181">
        <f t="shared" si="102"/>
        <v>22.283018868034276</v>
      </c>
      <c r="GK65" s="181">
        <f t="shared" si="103"/>
        <v>19.5</v>
      </c>
      <c r="GL65" s="157">
        <f t="shared" si="350"/>
        <v>0</v>
      </c>
      <c r="GM65" s="157">
        <f t="shared" si="105"/>
        <v>106.19999999999999</v>
      </c>
      <c r="GN65" s="157">
        <f t="shared" si="106"/>
        <v>0</v>
      </c>
      <c r="GO65" s="157">
        <f t="shared" si="107"/>
        <v>106.19999999999999</v>
      </c>
      <c r="GP65" s="157">
        <f t="shared" si="108"/>
        <v>132.30000000000001</v>
      </c>
      <c r="GQ65" s="157">
        <f t="shared" si="109"/>
        <v>3201.563306862598</v>
      </c>
      <c r="GR65" s="157">
        <f t="shared" si="351"/>
        <v>238.5</v>
      </c>
      <c r="GS65" s="200">
        <f t="shared" si="352"/>
        <v>7.4494856774742435E-2</v>
      </c>
      <c r="GT65" s="157">
        <f t="shared" si="353"/>
        <v>238.5</v>
      </c>
      <c r="GU65" s="157">
        <f t="shared" si="354"/>
        <v>645.54794520547944</v>
      </c>
      <c r="GV65" s="162">
        <f t="shared" si="114"/>
        <v>645.54794520547944</v>
      </c>
      <c r="GW65" s="157">
        <f t="shared" si="355"/>
        <v>645.54794520547944</v>
      </c>
      <c r="GX65" s="157">
        <f t="shared" si="247"/>
        <v>106.19999999999999</v>
      </c>
      <c r="GY65" s="207">
        <f t="shared" si="356"/>
        <v>258.21917808219177</v>
      </c>
      <c r="GZ65" s="207">
        <f t="shared" si="116"/>
        <v>70.8</v>
      </c>
      <c r="HA65" s="157">
        <f t="shared" si="117"/>
        <v>70.800000000279198</v>
      </c>
      <c r="HB65" s="157">
        <f t="shared" si="357"/>
        <v>106.2000000004188</v>
      </c>
      <c r="HC65" s="157">
        <f t="shared" si="358"/>
        <v>177.00000000069798</v>
      </c>
      <c r="HD65" s="168">
        <f t="shared" si="359"/>
        <v>21.664800000085506</v>
      </c>
      <c r="HE65" s="168">
        <f t="shared" si="360"/>
        <v>32.497200000128259</v>
      </c>
      <c r="HF65" s="168">
        <f t="shared" si="361"/>
        <v>54.162000000213766</v>
      </c>
      <c r="HG65" s="157">
        <f t="shared" si="119"/>
        <v>468.54794520478146</v>
      </c>
      <c r="HH65" s="168">
        <f t="shared" si="362"/>
        <v>0</v>
      </c>
      <c r="HI65" s="168">
        <f t="shared" si="363"/>
        <v>72.981000000000236</v>
      </c>
      <c r="HJ65" s="168">
        <f t="shared" si="364"/>
        <v>197.53767123287736</v>
      </c>
      <c r="HK65" s="168">
        <f t="shared" si="123"/>
        <v>143.37567123266359</v>
      </c>
      <c r="HL65" s="168">
        <f t="shared" si="124"/>
        <v>270.51867123287764</v>
      </c>
      <c r="HM65" s="157">
        <f t="shared" si="125"/>
        <v>177.00000000697992</v>
      </c>
      <c r="HN65" s="168">
        <f t="shared" si="365"/>
        <v>32.497200000128259</v>
      </c>
      <c r="HP65" s="168">
        <f t="shared" si="366"/>
        <v>32.497200000000106</v>
      </c>
      <c r="HQ65" s="168">
        <f t="shared" si="367"/>
        <v>32.497200000000106</v>
      </c>
      <c r="HR65" s="181"/>
      <c r="HU65" s="168">
        <f t="shared" ref="HU65:HV65" si="490">HU64</f>
        <v>2.5</v>
      </c>
      <c r="HV65" s="161">
        <f t="shared" si="490"/>
        <v>350</v>
      </c>
      <c r="HW65" s="161">
        <f t="shared" si="369"/>
        <v>525</v>
      </c>
      <c r="HX65" s="161">
        <f t="shared" si="370"/>
        <v>875</v>
      </c>
      <c r="HY65" s="161">
        <v>306.00000000000102</v>
      </c>
      <c r="HZ65" s="168">
        <f t="shared" si="371"/>
        <v>2.5</v>
      </c>
      <c r="IA65" s="161">
        <v>30.595714285714269</v>
      </c>
      <c r="IB65" s="161">
        <v>45.893571428571406</v>
      </c>
      <c r="IC65" s="161">
        <v>76.489285714285671</v>
      </c>
      <c r="ID65" s="168">
        <f t="shared" ref="ID65" si="491">ID64</f>
        <v>0.56785714285714284</v>
      </c>
      <c r="IE65" s="154">
        <f t="shared" si="130"/>
        <v>21</v>
      </c>
      <c r="IF65" s="154">
        <f t="shared" si="131"/>
        <v>19.5</v>
      </c>
      <c r="IG65" s="181">
        <f t="shared" si="373"/>
        <v>20.148214285714285</v>
      </c>
      <c r="IH65" s="181">
        <f t="shared" si="374"/>
        <v>20.448214285714286</v>
      </c>
      <c r="II65" s="181">
        <f t="shared" si="375"/>
        <v>19.5</v>
      </c>
      <c r="IJ65" s="181">
        <f t="shared" si="376"/>
        <v>21.650876010781673</v>
      </c>
      <c r="IK65" s="181">
        <f t="shared" si="377"/>
        <v>21.650876010781673</v>
      </c>
      <c r="IL65" s="181">
        <f t="shared" si="250"/>
        <v>0</v>
      </c>
      <c r="IM65" s="181">
        <f t="shared" si="137"/>
        <v>19.5</v>
      </c>
      <c r="IN65" s="157">
        <f t="shared" si="378"/>
        <v>60.30642857142859</v>
      </c>
      <c r="IO65" s="157">
        <f t="shared" si="139"/>
        <v>106.19999999999999</v>
      </c>
      <c r="IP65" s="157">
        <f t="shared" si="42"/>
        <v>0</v>
      </c>
      <c r="IQ65" s="157">
        <f t="shared" si="43"/>
        <v>45.893571428571398</v>
      </c>
      <c r="IR65" s="157">
        <f t="shared" si="140"/>
        <v>132.30000000000001</v>
      </c>
      <c r="IS65" s="157">
        <f t="shared" si="141"/>
        <v>3201.563306862598</v>
      </c>
      <c r="IT65" s="157">
        <f t="shared" si="379"/>
        <v>178.1935714285714</v>
      </c>
      <c r="IU65" s="200">
        <f t="shared" si="380"/>
        <v>5.5658300133128988E-2</v>
      </c>
      <c r="IV65" s="157">
        <f t="shared" si="381"/>
        <v>178.19357142857143</v>
      </c>
      <c r="IW65" s="157">
        <f t="shared" si="382"/>
        <v>645.54794520547944</v>
      </c>
      <c r="IX65" s="162">
        <f t="shared" si="146"/>
        <v>645.54794520547944</v>
      </c>
      <c r="IY65" s="157">
        <f t="shared" si="22"/>
        <v>645.54794520547944</v>
      </c>
      <c r="IZ65" s="157">
        <f t="shared" si="147"/>
        <v>45.893571428571406</v>
      </c>
      <c r="JA65" s="207">
        <f t="shared" si="383"/>
        <v>258.21917808219177</v>
      </c>
      <c r="JB65" s="207">
        <f t="shared" si="149"/>
        <v>30.595714285714269</v>
      </c>
      <c r="JC65" s="157">
        <f t="shared" si="150"/>
        <v>30.595714285714269</v>
      </c>
      <c r="JD65" s="157">
        <f t="shared" si="384"/>
        <v>45.893571428571406</v>
      </c>
      <c r="JE65" s="157">
        <f t="shared" si="385"/>
        <v>76.489285714285671</v>
      </c>
      <c r="JF65" s="168">
        <f t="shared" si="386"/>
        <v>9.3622885714285964</v>
      </c>
      <c r="JG65" s="168">
        <f t="shared" si="387"/>
        <v>14.043432857142898</v>
      </c>
      <c r="JH65" s="168">
        <f t="shared" si="388"/>
        <v>23.405721428571496</v>
      </c>
      <c r="JI65" s="157">
        <f t="shared" si="156"/>
        <v>569.05865949119379</v>
      </c>
      <c r="JJ65" s="168">
        <f t="shared" si="389"/>
        <v>0</v>
      </c>
      <c r="JK65" s="168">
        <f t="shared" si="390"/>
        <v>54.527232857143041</v>
      </c>
      <c r="JL65" s="168">
        <f t="shared" si="391"/>
        <v>197.53767123287736</v>
      </c>
      <c r="JM65" s="168">
        <f t="shared" si="160"/>
        <v>174.13194980430589</v>
      </c>
      <c r="JN65" s="168">
        <f t="shared" si="161"/>
        <v>270.51867123287764</v>
      </c>
      <c r="JO65" s="157">
        <f t="shared" si="162"/>
        <v>0</v>
      </c>
      <c r="JP65" s="168">
        <f t="shared" si="392"/>
        <v>14.043432857142898</v>
      </c>
      <c r="JR65" s="168">
        <f t="shared" si="393"/>
        <v>32.497200000000106</v>
      </c>
      <c r="JS65" s="168">
        <f t="shared" si="394"/>
        <v>14.043432857142896</v>
      </c>
      <c r="JT65" s="181"/>
      <c r="JW65" s="168">
        <f t="shared" ref="JW65:JX65" si="492">JW64</f>
        <v>2.5</v>
      </c>
      <c r="JX65" s="161">
        <f t="shared" si="492"/>
        <v>350</v>
      </c>
      <c r="JY65" s="161">
        <f t="shared" si="396"/>
        <v>525</v>
      </c>
      <c r="JZ65" s="161">
        <f t="shared" si="397"/>
        <v>875</v>
      </c>
      <c r="KA65" s="161">
        <v>306.00000000000102</v>
      </c>
      <c r="KB65" s="168">
        <f t="shared" si="398"/>
        <v>2.5</v>
      </c>
      <c r="KC65" s="161">
        <v>30.595714285714269</v>
      </c>
      <c r="KD65" s="161">
        <v>45.893571428571406</v>
      </c>
      <c r="KE65" s="161">
        <v>76.489285714285671</v>
      </c>
      <c r="KF65" s="168">
        <f t="shared" ref="KF65" si="493">KF64</f>
        <v>0.56785714285714284</v>
      </c>
      <c r="KG65" s="154">
        <f t="shared" si="167"/>
        <v>21</v>
      </c>
      <c r="KH65" s="154">
        <f t="shared" si="168"/>
        <v>19.5</v>
      </c>
      <c r="KI65" s="181">
        <f t="shared" si="400"/>
        <v>20.148214285714285</v>
      </c>
      <c r="KJ65" s="181">
        <f t="shared" si="401"/>
        <v>20.448214285714286</v>
      </c>
      <c r="KK65" s="181">
        <f t="shared" si="402"/>
        <v>19.5</v>
      </c>
      <c r="KL65" s="181">
        <f t="shared" si="403"/>
        <v>20.448214285714286</v>
      </c>
      <c r="KM65" s="181">
        <f t="shared" si="404"/>
        <v>20.448214285714286</v>
      </c>
      <c r="KN65" s="181">
        <f t="shared" si="253"/>
        <v>0</v>
      </c>
      <c r="KO65" s="181">
        <f t="shared" si="174"/>
        <v>19.5</v>
      </c>
      <c r="KP65" s="157">
        <f t="shared" si="405"/>
        <v>60.30642857142859</v>
      </c>
      <c r="KQ65" s="157">
        <f t="shared" si="46"/>
        <v>106.19999999999999</v>
      </c>
      <c r="KR65" s="157">
        <f t="shared" si="406"/>
        <v>0</v>
      </c>
      <c r="KS65" s="157">
        <f t="shared" si="407"/>
        <v>45.893571428571398</v>
      </c>
      <c r="KT65" s="157">
        <f t="shared" si="178"/>
        <v>132.30000000000001</v>
      </c>
      <c r="KU65" s="157">
        <f t="shared" si="179"/>
        <v>3201.563306862598</v>
      </c>
      <c r="KV65" s="157">
        <f t="shared" si="408"/>
        <v>178.1935714285714</v>
      </c>
      <c r="KW65" s="200">
        <f t="shared" si="409"/>
        <v>5.5658300133128988E-2</v>
      </c>
      <c r="KX65" s="157">
        <f t="shared" si="410"/>
        <v>178.19357142857143</v>
      </c>
      <c r="KY65" s="157">
        <f t="shared" si="411"/>
        <v>645.54794520547944</v>
      </c>
      <c r="KZ65" s="162">
        <f t="shared" si="47"/>
        <v>645.54794520547944</v>
      </c>
      <c r="LA65" s="157">
        <f t="shared" si="184"/>
        <v>645.54794520547944</v>
      </c>
      <c r="LB65" s="157">
        <f t="shared" si="185"/>
        <v>45.893571428571406</v>
      </c>
      <c r="LC65" s="207">
        <f t="shared" si="412"/>
        <v>258.21917808219177</v>
      </c>
      <c r="LD65" s="207">
        <f t="shared" si="187"/>
        <v>30.595714285714269</v>
      </c>
      <c r="LE65" s="157">
        <f t="shared" si="188"/>
        <v>30.595714285714269</v>
      </c>
      <c r="LF65" s="157">
        <f t="shared" si="413"/>
        <v>45.893571428571406</v>
      </c>
      <c r="LG65" s="157">
        <f t="shared" si="414"/>
        <v>76.489285714285671</v>
      </c>
      <c r="LH65" s="168">
        <f t="shared" si="415"/>
        <v>9.3622885714285964</v>
      </c>
      <c r="LI65" s="168">
        <f t="shared" si="416"/>
        <v>14.043432857142898</v>
      </c>
      <c r="LJ65" s="168">
        <f t="shared" si="417"/>
        <v>23.405721428571496</v>
      </c>
      <c r="LK65" s="157">
        <f t="shared" si="194"/>
        <v>569.05865949119379</v>
      </c>
      <c r="LL65" s="168">
        <f t="shared" si="418"/>
        <v>0</v>
      </c>
      <c r="LM65" s="168">
        <f t="shared" si="419"/>
        <v>54.527232857143041</v>
      </c>
      <c r="LN65" s="168">
        <f t="shared" si="420"/>
        <v>197.53767123287736</v>
      </c>
      <c r="LO65" s="168">
        <f t="shared" si="198"/>
        <v>174.13194980430589</v>
      </c>
      <c r="LP65" s="168">
        <f t="shared" si="199"/>
        <v>270.51867123287764</v>
      </c>
      <c r="LQ65" s="157">
        <f t="shared" si="200"/>
        <v>0</v>
      </c>
      <c r="LR65" s="168">
        <f t="shared" si="421"/>
        <v>14.043432857142898</v>
      </c>
      <c r="LT65" s="168">
        <f t="shared" si="422"/>
        <v>32.497200000000106</v>
      </c>
      <c r="LU65" s="168">
        <f t="shared" si="423"/>
        <v>14.043432857142896</v>
      </c>
      <c r="LV65" s="181"/>
      <c r="LY65" s="168">
        <f t="shared" ref="LY65:LZ65" si="494">LY64</f>
        <v>2.5</v>
      </c>
      <c r="LZ65" s="161">
        <f t="shared" si="494"/>
        <v>350</v>
      </c>
      <c r="MA65" s="161">
        <f t="shared" si="425"/>
        <v>525</v>
      </c>
      <c r="MB65" s="161">
        <f t="shared" si="426"/>
        <v>875</v>
      </c>
      <c r="MC65" s="161">
        <v>306.00000000000102</v>
      </c>
      <c r="MD65" s="168">
        <f t="shared" si="427"/>
        <v>2.5</v>
      </c>
      <c r="ME65" s="161">
        <v>70.8</v>
      </c>
      <c r="MF65" s="161">
        <v>106.19999999999999</v>
      </c>
      <c r="MG65" s="161">
        <v>177</v>
      </c>
      <c r="MH65" s="168">
        <f t="shared" ref="MH65" si="495">MH64</f>
        <v>0.56785714285714284</v>
      </c>
      <c r="MI65" s="154">
        <f t="shared" si="205"/>
        <v>21</v>
      </c>
      <c r="MJ65" s="181">
        <f t="shared" si="429"/>
        <v>19.5</v>
      </c>
      <c r="MK65" s="181">
        <f t="shared" si="430"/>
        <v>19.5</v>
      </c>
      <c r="ML65" s="154">
        <f t="shared" si="208"/>
        <v>19.5</v>
      </c>
      <c r="MM65" s="181">
        <f t="shared" si="431"/>
        <v>19.5</v>
      </c>
      <c r="MN65" s="181">
        <f t="shared" si="432"/>
        <v>19.5</v>
      </c>
      <c r="MO65" s="181">
        <f t="shared" si="433"/>
        <v>19.5</v>
      </c>
      <c r="MP65" s="181">
        <f t="shared" si="212"/>
        <v>19.5</v>
      </c>
      <c r="MQ65" s="157">
        <f t="shared" si="434"/>
        <v>0</v>
      </c>
      <c r="MR65" s="157">
        <f t="shared" si="213"/>
        <v>106.19999999999999</v>
      </c>
      <c r="MS65" s="157">
        <f t="shared" si="435"/>
        <v>0</v>
      </c>
      <c r="MT65" s="157">
        <f t="shared" si="436"/>
        <v>106.19999999999999</v>
      </c>
      <c r="MU65" s="157">
        <f t="shared" si="216"/>
        <v>132.30000000000001</v>
      </c>
      <c r="MV65" s="157">
        <f t="shared" si="217"/>
        <v>3201.563306862598</v>
      </c>
      <c r="MW65" s="157">
        <f t="shared" si="437"/>
        <v>238.5</v>
      </c>
      <c r="MX65" s="200">
        <f t="shared" si="438"/>
        <v>7.4494856774742435E-2</v>
      </c>
      <c r="MY65" s="157">
        <f t="shared" si="439"/>
        <v>238.5</v>
      </c>
      <c r="MZ65" s="157">
        <f t="shared" si="440"/>
        <v>645.54794520547944</v>
      </c>
      <c r="NA65" s="162">
        <f t="shared" si="222"/>
        <v>645.54794520547944</v>
      </c>
      <c r="NB65" s="157">
        <f t="shared" si="223"/>
        <v>645.54794520547944</v>
      </c>
      <c r="NC65" s="157">
        <f t="shared" si="224"/>
        <v>106.19999999999999</v>
      </c>
      <c r="ND65" s="207">
        <f t="shared" si="441"/>
        <v>258.21917808219177</v>
      </c>
      <c r="NE65" s="207">
        <f t="shared" si="225"/>
        <v>70.8</v>
      </c>
      <c r="NF65" s="157">
        <f t="shared" si="226"/>
        <v>70.8</v>
      </c>
      <c r="NG65" s="157">
        <f t="shared" si="442"/>
        <v>106.19999999999999</v>
      </c>
      <c r="NH65" s="157">
        <f t="shared" si="443"/>
        <v>177</v>
      </c>
      <c r="NI65" s="168">
        <f t="shared" si="444"/>
        <v>21.664800000000074</v>
      </c>
      <c r="NJ65" s="168">
        <f t="shared" si="445"/>
        <v>32.497200000000106</v>
      </c>
      <c r="NK65" s="168">
        <f t="shared" si="446"/>
        <v>54.162000000000177</v>
      </c>
      <c r="NL65" s="157">
        <f t="shared" si="230"/>
        <v>468.54794520547944</v>
      </c>
      <c r="NM65" s="168">
        <f t="shared" si="447"/>
        <v>0</v>
      </c>
      <c r="NN65" s="168">
        <f t="shared" si="448"/>
        <v>72.981000000000236</v>
      </c>
      <c r="NO65" s="168">
        <f t="shared" si="449"/>
        <v>197.53767123287736</v>
      </c>
      <c r="NP65" s="168">
        <f t="shared" si="234"/>
        <v>143.37567123287718</v>
      </c>
      <c r="NQ65" s="168">
        <f t="shared" si="235"/>
        <v>270.51867123287764</v>
      </c>
      <c r="NR65" s="157">
        <f t="shared" si="236"/>
        <v>0</v>
      </c>
      <c r="NS65" s="168">
        <f t="shared" si="450"/>
        <v>32.497200000000106</v>
      </c>
      <c r="NT65" s="157">
        <f t="shared" si="319"/>
        <v>884.04794520547944</v>
      </c>
      <c r="NU65" s="168">
        <f t="shared" si="451"/>
        <v>32.497200000000106</v>
      </c>
      <c r="NV65" s="168">
        <f t="shared" si="452"/>
        <v>32.497200000000106</v>
      </c>
      <c r="NX65" s="157"/>
      <c r="NY65" s="157"/>
      <c r="NZ65" s="157"/>
      <c r="OA65" s="157"/>
      <c r="OB65" s="157"/>
    </row>
    <row r="66" spans="1:392" ht="13" x14ac:dyDescent="0.3">
      <c r="A66" s="154">
        <v>97.100456621004568</v>
      </c>
      <c r="B66" s="154">
        <v>20.5</v>
      </c>
      <c r="C66" s="154">
        <f t="shared" si="320"/>
        <v>20.5</v>
      </c>
      <c r="D66" s="154">
        <v>68164.39999999998</v>
      </c>
      <c r="E66" s="200">
        <f t="shared" si="332"/>
        <v>480.03098591549241</v>
      </c>
      <c r="F66" s="181">
        <f t="shared" si="333"/>
        <v>44.1</v>
      </c>
      <c r="G66" s="161">
        <f t="shared" si="334"/>
        <v>142.00000000000011</v>
      </c>
      <c r="H66" s="154">
        <f t="shared" si="55"/>
        <v>4.41E-2</v>
      </c>
      <c r="I66" s="161">
        <f t="shared" si="56"/>
        <v>71.000000000000057</v>
      </c>
      <c r="J66" s="181">
        <f t="shared" si="57"/>
        <v>21</v>
      </c>
      <c r="K66" s="181">
        <f t="shared" si="58"/>
        <v>20.5</v>
      </c>
      <c r="L66" s="181">
        <f t="shared" si="59"/>
        <v>20.5</v>
      </c>
      <c r="M66" s="181">
        <f t="shared" si="60"/>
        <v>20.5</v>
      </c>
      <c r="N66" s="181">
        <f t="shared" si="61"/>
        <v>20.5</v>
      </c>
      <c r="O66" s="181">
        <f t="shared" si="62"/>
        <v>20.5</v>
      </c>
      <c r="P66" s="181">
        <f t="shared" si="63"/>
        <v>20.5</v>
      </c>
      <c r="Q66" s="181">
        <f t="shared" si="64"/>
        <v>20.871069182389938</v>
      </c>
      <c r="R66" s="168">
        <f t="shared" si="65"/>
        <v>8.3780000000000054</v>
      </c>
      <c r="S66" s="161">
        <f t="shared" si="66"/>
        <v>91.667808219178156</v>
      </c>
      <c r="T66" s="161">
        <f t="shared" si="67"/>
        <v>31.90012492461446</v>
      </c>
      <c r="U66" s="161">
        <f t="shared" si="68"/>
        <v>30.65012492461446</v>
      </c>
      <c r="V66" s="154">
        <f t="shared" si="69"/>
        <v>0</v>
      </c>
      <c r="W66" s="154">
        <f t="shared" si="70"/>
        <v>0.58654794520547948</v>
      </c>
      <c r="X66" s="154">
        <f t="shared" si="71"/>
        <v>0.64554794520547942</v>
      </c>
      <c r="Y66" s="154">
        <f t="shared" si="72"/>
        <v>0.72504794520547944</v>
      </c>
      <c r="Z66" s="154">
        <f t="shared" si="321"/>
        <v>3.5400000000000001E-2</v>
      </c>
      <c r="AA66" s="154">
        <f t="shared" si="322"/>
        <v>7.9500000000000001E-2</v>
      </c>
      <c r="AB66" s="154">
        <f t="shared" si="323"/>
        <v>0.64554794520547942</v>
      </c>
      <c r="AC66" s="154">
        <f t="shared" si="324"/>
        <v>0.64554794520547942</v>
      </c>
      <c r="AD66" s="154">
        <f t="shared" si="325"/>
        <v>2.3599999999999999E-2</v>
      </c>
      <c r="AE66" s="154">
        <f t="shared" si="326"/>
        <v>3.5400000000000001E-2</v>
      </c>
      <c r="AF66" s="154">
        <f t="shared" si="327"/>
        <v>5.899999999999999E-2</v>
      </c>
      <c r="AG66" s="154">
        <f t="shared" si="75"/>
        <v>0</v>
      </c>
      <c r="AH66" s="154">
        <f t="shared" si="76"/>
        <v>5.899999999999999E-2</v>
      </c>
      <c r="AI66" s="154">
        <f t="shared" si="77"/>
        <v>0.58732876712328763</v>
      </c>
      <c r="AJ66" s="154">
        <f t="shared" si="78"/>
        <v>5.8219178082191785E-2</v>
      </c>
      <c r="AK66" s="154">
        <f t="shared" si="79"/>
        <v>0</v>
      </c>
      <c r="AL66" s="161">
        <f t="shared" si="80"/>
        <v>587.32876712328766</v>
      </c>
      <c r="AM66" s="161">
        <f t="shared" si="81"/>
        <v>58.219178082191782</v>
      </c>
      <c r="AN66" s="161">
        <f t="shared" si="82"/>
        <v>0</v>
      </c>
      <c r="AO66" s="161"/>
      <c r="AP66" s="154">
        <f t="shared" si="83"/>
        <v>0.64554794520547942</v>
      </c>
      <c r="AQ66" s="154">
        <f t="shared" si="84"/>
        <v>0.64554794520547942</v>
      </c>
      <c r="AR66" s="154">
        <f t="shared" si="85"/>
        <v>5.899999999999999E-2</v>
      </c>
      <c r="AS66" s="161"/>
      <c r="AT66" s="161"/>
      <c r="AU66" s="161"/>
      <c r="AV66" s="161"/>
      <c r="AW66" s="181"/>
      <c r="AX66" s="181"/>
      <c r="AY66" s="181"/>
      <c r="AZ66" s="181"/>
      <c r="BA66" s="181"/>
      <c r="BB66" s="161"/>
      <c r="BC66" s="161"/>
      <c r="BD66" s="161"/>
      <c r="BE66" s="181"/>
      <c r="BF66" s="168"/>
      <c r="BG66" s="181"/>
      <c r="BH66" s="168"/>
      <c r="BI66" s="168"/>
      <c r="BJ66" s="161"/>
      <c r="BK66" s="168"/>
      <c r="BL66" s="168"/>
      <c r="BM66" s="168"/>
      <c r="BN66" s="168"/>
      <c r="BO66" s="168">
        <f t="shared" si="335"/>
        <v>83.400684931506916</v>
      </c>
      <c r="BP66" s="168">
        <f t="shared" si="336"/>
        <v>8.2671232876712395</v>
      </c>
      <c r="BQ66" s="168">
        <f t="shared" si="337"/>
        <v>0</v>
      </c>
      <c r="BR66" s="181"/>
      <c r="BS66" s="161"/>
      <c r="BT66" s="168"/>
      <c r="BU66" s="161"/>
      <c r="BV66" s="161"/>
      <c r="BW66" s="161"/>
      <c r="BX66" s="161"/>
      <c r="CB66" s="181">
        <f t="shared" si="453"/>
        <v>440.18913377114205</v>
      </c>
      <c r="CC66" s="181">
        <f t="shared" si="453"/>
        <v>0</v>
      </c>
      <c r="CD66" s="181">
        <f t="shared" si="453"/>
        <v>514.49857810883225</v>
      </c>
      <c r="CE66" s="181">
        <f t="shared" si="453"/>
        <v>0</v>
      </c>
      <c r="CF66" s="181">
        <f t="shared" si="453"/>
        <v>1711.4436068163081</v>
      </c>
      <c r="CG66" s="181">
        <f t="shared" si="453"/>
        <v>0</v>
      </c>
      <c r="CH66" s="181">
        <f t="shared" si="453"/>
        <v>515.17112526975893</v>
      </c>
      <c r="CI66" s="181">
        <f t="shared" si="453"/>
        <v>0</v>
      </c>
      <c r="CJ66" s="182">
        <f t="shared" si="338"/>
        <v>3181.3024439660412</v>
      </c>
      <c r="CK66" s="161">
        <f t="shared" si="339"/>
        <v>3181.3024439660417</v>
      </c>
      <c r="CL66" s="161">
        <f t="shared" si="243"/>
        <v>529.19999999999993</v>
      </c>
      <c r="CM66" s="182">
        <f t="shared" si="340"/>
        <v>3710.5024439660415</v>
      </c>
      <c r="CN66" s="157">
        <f t="shared" si="341"/>
        <v>451.74494704317817</v>
      </c>
      <c r="CO66" s="162">
        <f t="shared" si="342"/>
        <v>3710.5024439660415</v>
      </c>
      <c r="FT66" s="168">
        <f t="shared" si="244"/>
        <v>2.5</v>
      </c>
      <c r="FU66" s="161">
        <f t="shared" si="245"/>
        <v>350</v>
      </c>
      <c r="FV66" s="161">
        <f t="shared" si="343"/>
        <v>525</v>
      </c>
      <c r="FW66" s="161">
        <f t="shared" si="344"/>
        <v>875</v>
      </c>
      <c r="FX66" s="161">
        <v>307.00000000000102</v>
      </c>
      <c r="FY66" s="168">
        <f t="shared" si="345"/>
        <v>2.5</v>
      </c>
      <c r="FZ66" s="161">
        <v>23.600000003263997</v>
      </c>
      <c r="GA66" s="161">
        <v>35.400000004895993</v>
      </c>
      <c r="GB66" s="161">
        <v>59.000000008159994</v>
      </c>
      <c r="GC66" s="168">
        <f t="shared" si="246"/>
        <v>0.56785714285714284</v>
      </c>
      <c r="GD66" s="154">
        <f t="shared" si="97"/>
        <v>21</v>
      </c>
      <c r="GE66" s="181">
        <f t="shared" si="346"/>
        <v>20.5</v>
      </c>
      <c r="GF66" s="181">
        <f t="shared" si="347"/>
        <v>20.5</v>
      </c>
      <c r="GG66" s="154">
        <f t="shared" si="99"/>
        <v>20.5</v>
      </c>
      <c r="GH66" s="181">
        <f t="shared" si="348"/>
        <v>20.5</v>
      </c>
      <c r="GI66" s="181">
        <f t="shared" si="349"/>
        <v>21.427672956103144</v>
      </c>
      <c r="GJ66" s="181">
        <f t="shared" si="102"/>
        <v>21.427672956103144</v>
      </c>
      <c r="GK66" s="181">
        <f t="shared" si="103"/>
        <v>20.5</v>
      </c>
      <c r="GL66" s="157">
        <f t="shared" si="350"/>
        <v>0</v>
      </c>
      <c r="GM66" s="157">
        <f t="shared" si="105"/>
        <v>35.4</v>
      </c>
      <c r="GN66" s="157">
        <f t="shared" si="106"/>
        <v>0</v>
      </c>
      <c r="GO66" s="157">
        <f t="shared" si="107"/>
        <v>35.4</v>
      </c>
      <c r="GP66" s="157">
        <f t="shared" si="108"/>
        <v>44.1</v>
      </c>
      <c r="GQ66" s="157">
        <f t="shared" si="109"/>
        <v>3710.5024439660415</v>
      </c>
      <c r="GR66" s="157">
        <f t="shared" si="351"/>
        <v>79.5</v>
      </c>
      <c r="GS66" s="200">
        <f t="shared" si="352"/>
        <v>2.1425669757819888E-2</v>
      </c>
      <c r="GT66" s="157">
        <f t="shared" si="353"/>
        <v>79.5</v>
      </c>
      <c r="GU66" s="157">
        <f t="shared" si="354"/>
        <v>645.54794520547944</v>
      </c>
      <c r="GV66" s="162">
        <f t="shared" si="114"/>
        <v>645.54794520547944</v>
      </c>
      <c r="GW66" s="157">
        <f t="shared" si="355"/>
        <v>645.54794520547944</v>
      </c>
      <c r="GX66" s="157">
        <f t="shared" si="247"/>
        <v>35.4</v>
      </c>
      <c r="GY66" s="207">
        <f t="shared" si="356"/>
        <v>258.21917808219177</v>
      </c>
      <c r="GZ66" s="207">
        <f t="shared" si="116"/>
        <v>23.599999999999998</v>
      </c>
      <c r="HA66" s="157">
        <f t="shared" si="117"/>
        <v>23.600000000326396</v>
      </c>
      <c r="HB66" s="157">
        <f t="shared" si="357"/>
        <v>35.400000000489598</v>
      </c>
      <c r="HC66" s="157">
        <f t="shared" si="358"/>
        <v>59.000000000815987</v>
      </c>
      <c r="HD66" s="168">
        <f t="shared" si="359"/>
        <v>7.245200000100227</v>
      </c>
      <c r="HE66" s="168">
        <f t="shared" si="360"/>
        <v>10.867800000150343</v>
      </c>
      <c r="HF66" s="168">
        <f t="shared" si="361"/>
        <v>18.113000000250569</v>
      </c>
      <c r="HG66" s="157">
        <f t="shared" si="119"/>
        <v>586.54794520466339</v>
      </c>
      <c r="HH66" s="168">
        <f t="shared" si="362"/>
        <v>0</v>
      </c>
      <c r="HI66" s="168">
        <f t="shared" si="363"/>
        <v>24.406500000000083</v>
      </c>
      <c r="HJ66" s="168">
        <f t="shared" si="364"/>
        <v>198.18321917808285</v>
      </c>
      <c r="HK66" s="168">
        <f t="shared" si="123"/>
        <v>180.07021917783226</v>
      </c>
      <c r="HL66" s="168">
        <f t="shared" si="124"/>
        <v>222.58971917808293</v>
      </c>
      <c r="HM66" s="157">
        <f t="shared" si="125"/>
        <v>59.000000008159986</v>
      </c>
      <c r="HN66" s="168">
        <f t="shared" si="365"/>
        <v>10.867800000150343</v>
      </c>
      <c r="HP66" s="168">
        <f t="shared" si="366"/>
        <v>10.867800000000036</v>
      </c>
      <c r="HQ66" s="168">
        <f t="shared" si="367"/>
        <v>10.867800000000036</v>
      </c>
      <c r="HR66" s="181"/>
      <c r="HU66" s="168">
        <f t="shared" ref="HU66:HV66" si="496">HU65</f>
        <v>2.5</v>
      </c>
      <c r="HV66" s="161">
        <f t="shared" si="496"/>
        <v>350</v>
      </c>
      <c r="HW66" s="161">
        <f t="shared" si="369"/>
        <v>525</v>
      </c>
      <c r="HX66" s="161">
        <f t="shared" si="370"/>
        <v>875</v>
      </c>
      <c r="HY66" s="161">
        <v>307.00000000000102</v>
      </c>
      <c r="HZ66" s="168">
        <f t="shared" si="371"/>
        <v>2.5</v>
      </c>
      <c r="IA66" s="161">
        <v>10.198571428571423</v>
      </c>
      <c r="IB66" s="161">
        <v>15.297857142857135</v>
      </c>
      <c r="IC66" s="161">
        <v>25.496428571428559</v>
      </c>
      <c r="ID66" s="168">
        <f t="shared" ref="ID66" si="497">ID65</f>
        <v>0.56785714285714284</v>
      </c>
      <c r="IE66" s="154">
        <f t="shared" si="130"/>
        <v>21</v>
      </c>
      <c r="IF66" s="154">
        <f t="shared" si="131"/>
        <v>20.5</v>
      </c>
      <c r="IG66" s="181">
        <f t="shared" si="373"/>
        <v>20.716071428571428</v>
      </c>
      <c r="IH66" s="181">
        <f t="shared" si="374"/>
        <v>20.81607142857143</v>
      </c>
      <c r="II66" s="181">
        <f t="shared" si="375"/>
        <v>20.5</v>
      </c>
      <c r="IJ66" s="181">
        <f t="shared" si="376"/>
        <v>21.21695867026056</v>
      </c>
      <c r="IK66" s="181">
        <f t="shared" si="377"/>
        <v>21.21695867026056</v>
      </c>
      <c r="IL66" s="181">
        <f t="shared" si="250"/>
        <v>0</v>
      </c>
      <c r="IM66" s="181">
        <f t="shared" si="137"/>
        <v>20.5</v>
      </c>
      <c r="IN66" s="157">
        <f t="shared" si="378"/>
        <v>20.102142857142862</v>
      </c>
      <c r="IO66" s="157">
        <f t="shared" si="139"/>
        <v>35.4</v>
      </c>
      <c r="IP66" s="157">
        <f t="shared" si="42"/>
        <v>0</v>
      </c>
      <c r="IQ66" s="157">
        <f t="shared" si="43"/>
        <v>15.297857142857136</v>
      </c>
      <c r="IR66" s="157">
        <f t="shared" si="140"/>
        <v>44.1</v>
      </c>
      <c r="IS66" s="157">
        <f t="shared" si="141"/>
        <v>3710.5024439660415</v>
      </c>
      <c r="IT66" s="157">
        <f t="shared" si="379"/>
        <v>59.397857142857134</v>
      </c>
      <c r="IU66" s="200">
        <f t="shared" si="380"/>
        <v>1.6008036119056858E-2</v>
      </c>
      <c r="IV66" s="157">
        <f t="shared" si="381"/>
        <v>59.397857142857134</v>
      </c>
      <c r="IW66" s="157">
        <f t="shared" si="382"/>
        <v>645.54794520547944</v>
      </c>
      <c r="IX66" s="162">
        <f t="shared" si="146"/>
        <v>645.54794520547944</v>
      </c>
      <c r="IY66" s="157">
        <f t="shared" si="22"/>
        <v>645.54794520547944</v>
      </c>
      <c r="IZ66" s="157">
        <f t="shared" si="147"/>
        <v>15.297857142857135</v>
      </c>
      <c r="JA66" s="207">
        <f t="shared" si="383"/>
        <v>258.21917808219177</v>
      </c>
      <c r="JB66" s="207">
        <f t="shared" si="149"/>
        <v>10.198571428571423</v>
      </c>
      <c r="JC66" s="157">
        <f t="shared" si="150"/>
        <v>10.198571428571423</v>
      </c>
      <c r="JD66" s="157">
        <f t="shared" si="384"/>
        <v>15.297857142857135</v>
      </c>
      <c r="JE66" s="157">
        <f t="shared" si="385"/>
        <v>25.496428571428559</v>
      </c>
      <c r="JF66" s="168">
        <f t="shared" si="386"/>
        <v>3.1309614285714376</v>
      </c>
      <c r="JG66" s="168">
        <f t="shared" si="387"/>
        <v>4.6964421428571557</v>
      </c>
      <c r="JH66" s="168">
        <f t="shared" si="388"/>
        <v>7.8274035714285937</v>
      </c>
      <c r="JI66" s="157">
        <f t="shared" si="156"/>
        <v>620.05151663405093</v>
      </c>
      <c r="JJ66" s="168">
        <f t="shared" si="389"/>
        <v>0</v>
      </c>
      <c r="JK66" s="168">
        <f t="shared" si="390"/>
        <v>18.2351421428572</v>
      </c>
      <c r="JL66" s="168">
        <f t="shared" si="391"/>
        <v>198.18321917808285</v>
      </c>
      <c r="JM66" s="168">
        <f t="shared" si="160"/>
        <v>190.35581560665426</v>
      </c>
      <c r="JN66" s="168">
        <f t="shared" si="161"/>
        <v>222.58971917808293</v>
      </c>
      <c r="JO66" s="157">
        <f t="shared" si="162"/>
        <v>0</v>
      </c>
      <c r="JP66" s="168">
        <f t="shared" si="392"/>
        <v>4.6964421428571557</v>
      </c>
      <c r="JR66" s="168">
        <f t="shared" si="393"/>
        <v>10.867800000000036</v>
      </c>
      <c r="JS66" s="168">
        <f t="shared" si="394"/>
        <v>4.6964421428571566</v>
      </c>
      <c r="JT66" s="181"/>
      <c r="JW66" s="168">
        <f t="shared" ref="JW66:JX66" si="498">JW65</f>
        <v>2.5</v>
      </c>
      <c r="JX66" s="161">
        <f t="shared" si="498"/>
        <v>350</v>
      </c>
      <c r="JY66" s="161">
        <f t="shared" si="396"/>
        <v>525</v>
      </c>
      <c r="JZ66" s="161">
        <f t="shared" si="397"/>
        <v>875</v>
      </c>
      <c r="KA66" s="161">
        <v>307.00000000000102</v>
      </c>
      <c r="KB66" s="168">
        <f t="shared" si="398"/>
        <v>2.5</v>
      </c>
      <c r="KC66" s="161">
        <v>10.198571428571423</v>
      </c>
      <c r="KD66" s="161">
        <v>15.297857142857135</v>
      </c>
      <c r="KE66" s="161">
        <v>25.496428571428559</v>
      </c>
      <c r="KF66" s="168">
        <f t="shared" ref="KF66" si="499">KF65</f>
        <v>0.56785714285714284</v>
      </c>
      <c r="KG66" s="154">
        <f t="shared" si="167"/>
        <v>21</v>
      </c>
      <c r="KH66" s="154">
        <f t="shared" si="168"/>
        <v>20.5</v>
      </c>
      <c r="KI66" s="181">
        <f t="shared" si="400"/>
        <v>20.716071428571428</v>
      </c>
      <c r="KJ66" s="181">
        <f t="shared" si="401"/>
        <v>20.81607142857143</v>
      </c>
      <c r="KK66" s="181">
        <f t="shared" si="402"/>
        <v>20.5</v>
      </c>
      <c r="KL66" s="181">
        <f t="shared" si="403"/>
        <v>20.81607142857143</v>
      </c>
      <c r="KM66" s="181">
        <f t="shared" si="404"/>
        <v>20.81607142857143</v>
      </c>
      <c r="KN66" s="181">
        <f t="shared" si="253"/>
        <v>0</v>
      </c>
      <c r="KO66" s="181">
        <f t="shared" si="174"/>
        <v>20.5</v>
      </c>
      <c r="KP66" s="157">
        <f t="shared" si="405"/>
        <v>20.102142857142862</v>
      </c>
      <c r="KQ66" s="157">
        <f t="shared" si="46"/>
        <v>35.4</v>
      </c>
      <c r="KR66" s="157">
        <f t="shared" si="406"/>
        <v>0</v>
      </c>
      <c r="KS66" s="157">
        <f t="shared" si="407"/>
        <v>15.297857142857136</v>
      </c>
      <c r="KT66" s="157">
        <f t="shared" si="178"/>
        <v>44.1</v>
      </c>
      <c r="KU66" s="157">
        <f t="shared" si="179"/>
        <v>3710.5024439660415</v>
      </c>
      <c r="KV66" s="157">
        <f t="shared" si="408"/>
        <v>59.397857142857134</v>
      </c>
      <c r="KW66" s="200">
        <f t="shared" si="409"/>
        <v>1.6008036119056858E-2</v>
      </c>
      <c r="KX66" s="157">
        <f t="shared" si="410"/>
        <v>59.397857142857134</v>
      </c>
      <c r="KY66" s="157">
        <f t="shared" si="411"/>
        <v>645.54794520547944</v>
      </c>
      <c r="KZ66" s="162">
        <f t="shared" si="47"/>
        <v>645.54794520547944</v>
      </c>
      <c r="LA66" s="157">
        <f t="shared" si="184"/>
        <v>645.54794520547944</v>
      </c>
      <c r="LB66" s="157">
        <f t="shared" si="185"/>
        <v>15.297857142857135</v>
      </c>
      <c r="LC66" s="207">
        <f t="shared" si="412"/>
        <v>258.21917808219177</v>
      </c>
      <c r="LD66" s="207">
        <f t="shared" si="187"/>
        <v>10.198571428571423</v>
      </c>
      <c r="LE66" s="157">
        <f t="shared" si="188"/>
        <v>10.198571428571423</v>
      </c>
      <c r="LF66" s="157">
        <f t="shared" si="413"/>
        <v>15.297857142857135</v>
      </c>
      <c r="LG66" s="157">
        <f t="shared" si="414"/>
        <v>25.496428571428559</v>
      </c>
      <c r="LH66" s="168">
        <f t="shared" si="415"/>
        <v>3.1309614285714376</v>
      </c>
      <c r="LI66" s="168">
        <f t="shared" si="416"/>
        <v>4.6964421428571557</v>
      </c>
      <c r="LJ66" s="168">
        <f t="shared" si="417"/>
        <v>7.8274035714285937</v>
      </c>
      <c r="LK66" s="157">
        <f t="shared" si="194"/>
        <v>620.05151663405093</v>
      </c>
      <c r="LL66" s="168">
        <f t="shared" si="418"/>
        <v>0</v>
      </c>
      <c r="LM66" s="168">
        <f t="shared" si="419"/>
        <v>18.2351421428572</v>
      </c>
      <c r="LN66" s="168">
        <f t="shared" si="420"/>
        <v>198.18321917808285</v>
      </c>
      <c r="LO66" s="168">
        <f t="shared" si="198"/>
        <v>190.35581560665426</v>
      </c>
      <c r="LP66" s="168">
        <f t="shared" si="199"/>
        <v>222.58971917808293</v>
      </c>
      <c r="LQ66" s="157">
        <f t="shared" si="200"/>
        <v>0</v>
      </c>
      <c r="LR66" s="168">
        <f t="shared" si="421"/>
        <v>4.6964421428571557</v>
      </c>
      <c r="LT66" s="168">
        <f t="shared" si="422"/>
        <v>10.867800000000036</v>
      </c>
      <c r="LU66" s="168">
        <f t="shared" si="423"/>
        <v>4.6964421428571566</v>
      </c>
      <c r="LV66" s="181"/>
      <c r="LY66" s="168">
        <f t="shared" ref="LY66:LZ66" si="500">LY65</f>
        <v>2.5</v>
      </c>
      <c r="LZ66" s="161">
        <f t="shared" si="500"/>
        <v>350</v>
      </c>
      <c r="MA66" s="161">
        <f t="shared" si="425"/>
        <v>525</v>
      </c>
      <c r="MB66" s="161">
        <f t="shared" si="426"/>
        <v>875</v>
      </c>
      <c r="MC66" s="161">
        <v>307.00000000000102</v>
      </c>
      <c r="MD66" s="168">
        <f t="shared" si="427"/>
        <v>2.5</v>
      </c>
      <c r="ME66" s="161">
        <v>23.599999999999998</v>
      </c>
      <c r="MF66" s="161">
        <v>35.4</v>
      </c>
      <c r="MG66" s="161">
        <v>58.999999999999993</v>
      </c>
      <c r="MH66" s="168">
        <f t="shared" ref="MH66" si="501">MH65</f>
        <v>0.56785714285714284</v>
      </c>
      <c r="MI66" s="154">
        <f t="shared" si="205"/>
        <v>21</v>
      </c>
      <c r="MJ66" s="181">
        <f t="shared" si="429"/>
        <v>20.5</v>
      </c>
      <c r="MK66" s="181">
        <f t="shared" si="430"/>
        <v>20.5</v>
      </c>
      <c r="ML66" s="154">
        <f t="shared" si="208"/>
        <v>20.5</v>
      </c>
      <c r="MM66" s="181">
        <f t="shared" si="431"/>
        <v>20.5</v>
      </c>
      <c r="MN66" s="181">
        <f t="shared" si="432"/>
        <v>20.5</v>
      </c>
      <c r="MO66" s="181">
        <f t="shared" si="433"/>
        <v>20.5</v>
      </c>
      <c r="MP66" s="181">
        <f t="shared" si="212"/>
        <v>20.5</v>
      </c>
      <c r="MQ66" s="157">
        <f t="shared" si="434"/>
        <v>0</v>
      </c>
      <c r="MR66" s="157">
        <f t="shared" si="213"/>
        <v>35.4</v>
      </c>
      <c r="MS66" s="157">
        <f t="shared" si="435"/>
        <v>0</v>
      </c>
      <c r="MT66" s="157">
        <f t="shared" si="436"/>
        <v>35.4</v>
      </c>
      <c r="MU66" s="157">
        <f t="shared" si="216"/>
        <v>44.1</v>
      </c>
      <c r="MV66" s="157">
        <f t="shared" si="217"/>
        <v>3710.5024439660415</v>
      </c>
      <c r="MW66" s="157">
        <f t="shared" si="437"/>
        <v>79.5</v>
      </c>
      <c r="MX66" s="200">
        <f t="shared" si="438"/>
        <v>2.1425669757819888E-2</v>
      </c>
      <c r="MY66" s="157">
        <f t="shared" si="439"/>
        <v>79.5</v>
      </c>
      <c r="MZ66" s="157">
        <f t="shared" si="440"/>
        <v>645.54794520547944</v>
      </c>
      <c r="NA66" s="162">
        <f t="shared" si="222"/>
        <v>645.54794520547944</v>
      </c>
      <c r="NB66" s="157">
        <f t="shared" si="223"/>
        <v>645.54794520547944</v>
      </c>
      <c r="NC66" s="157">
        <f t="shared" si="224"/>
        <v>35.4</v>
      </c>
      <c r="ND66" s="207">
        <f t="shared" si="441"/>
        <v>258.21917808219177</v>
      </c>
      <c r="NE66" s="207">
        <f t="shared" si="225"/>
        <v>23.599999999999998</v>
      </c>
      <c r="NF66" s="157">
        <f t="shared" si="226"/>
        <v>23.599999999999998</v>
      </c>
      <c r="NG66" s="157">
        <f t="shared" si="442"/>
        <v>35.4</v>
      </c>
      <c r="NH66" s="157">
        <f t="shared" si="443"/>
        <v>58.999999999999993</v>
      </c>
      <c r="NI66" s="168">
        <f t="shared" si="444"/>
        <v>7.2452000000000236</v>
      </c>
      <c r="NJ66" s="168">
        <f t="shared" si="445"/>
        <v>10.867800000000036</v>
      </c>
      <c r="NK66" s="168">
        <f t="shared" si="446"/>
        <v>18.113000000000056</v>
      </c>
      <c r="NL66" s="157">
        <f t="shared" si="230"/>
        <v>586.54794520547944</v>
      </c>
      <c r="NM66" s="168">
        <f t="shared" si="447"/>
        <v>0</v>
      </c>
      <c r="NN66" s="168">
        <f t="shared" si="448"/>
        <v>24.406500000000083</v>
      </c>
      <c r="NO66" s="168">
        <f t="shared" si="449"/>
        <v>198.18321917808285</v>
      </c>
      <c r="NP66" s="168">
        <f t="shared" si="234"/>
        <v>180.07021917808279</v>
      </c>
      <c r="NQ66" s="168">
        <f t="shared" si="235"/>
        <v>222.58971917808293</v>
      </c>
      <c r="NR66" s="157">
        <f t="shared" si="236"/>
        <v>0</v>
      </c>
      <c r="NS66" s="168">
        <f t="shared" si="450"/>
        <v>10.867800000000036</v>
      </c>
      <c r="NT66" s="157">
        <f t="shared" si="319"/>
        <v>725.04794520547944</v>
      </c>
      <c r="NU66" s="168">
        <f t="shared" si="451"/>
        <v>10.867800000000036</v>
      </c>
      <c r="NV66" s="168">
        <f t="shared" si="452"/>
        <v>10.867800000000036</v>
      </c>
      <c r="NX66" s="157"/>
      <c r="NY66" s="157"/>
      <c r="NZ66" s="157"/>
      <c r="OA66" s="157"/>
      <c r="OB66" s="157"/>
    </row>
    <row r="67" spans="1:392" ht="13" x14ac:dyDescent="0.3">
      <c r="A67" s="154">
        <v>98.1392694063927</v>
      </c>
      <c r="B67" s="154">
        <v>21.5</v>
      </c>
      <c r="C67" s="154">
        <f t="shared" si="320"/>
        <v>21.5</v>
      </c>
      <c r="D67" s="154">
        <v>44863.800000000025</v>
      </c>
      <c r="E67" s="200">
        <f t="shared" si="332"/>
        <v>493.00879120878972</v>
      </c>
      <c r="F67" s="181">
        <f t="shared" si="333"/>
        <v>0</v>
      </c>
      <c r="G67" s="161">
        <f t="shared" si="334"/>
        <v>91.000000000000327</v>
      </c>
      <c r="H67" s="154">
        <f t="shared" si="55"/>
        <v>0</v>
      </c>
      <c r="I67" s="161">
        <f t="shared" si="56"/>
        <v>0</v>
      </c>
      <c r="J67" s="181">
        <f t="shared" si="57"/>
        <v>21.5</v>
      </c>
      <c r="K67" s="181">
        <f t="shared" si="58"/>
        <v>21.5</v>
      </c>
      <c r="L67" s="181">
        <f t="shared" si="59"/>
        <v>21.5</v>
      </c>
      <c r="M67" s="181">
        <f t="shared" si="60"/>
        <v>21.5</v>
      </c>
      <c r="N67" s="181">
        <f t="shared" si="61"/>
        <v>21.5</v>
      </c>
      <c r="O67" s="181">
        <f t="shared" si="62"/>
        <v>21.5</v>
      </c>
      <c r="P67" s="181">
        <f t="shared" si="63"/>
        <v>21.5</v>
      </c>
      <c r="Q67" s="181">
        <f t="shared" si="64"/>
        <v>21.5</v>
      </c>
      <c r="R67" s="168">
        <f t="shared" si="65"/>
        <v>0</v>
      </c>
      <c r="S67" s="161">
        <f t="shared" si="66"/>
        <v>58.74486301369884</v>
      </c>
      <c r="T67" s="161">
        <f t="shared" si="67"/>
        <v>31.65012492461446</v>
      </c>
      <c r="U67" s="161">
        <f t="shared" si="68"/>
        <v>31.65012492461446</v>
      </c>
      <c r="V67" s="154">
        <f t="shared" si="69"/>
        <v>0</v>
      </c>
      <c r="W67" s="154">
        <f t="shared" si="70"/>
        <v>0.64554794520547942</v>
      </c>
      <c r="X67" s="154">
        <f t="shared" si="71"/>
        <v>0.64554794520547942</v>
      </c>
      <c r="Y67" s="154">
        <f t="shared" si="72"/>
        <v>0.64554794520547942</v>
      </c>
      <c r="Z67" s="154">
        <f t="shared" si="321"/>
        <v>0</v>
      </c>
      <c r="AA67" s="154">
        <f t="shared" si="322"/>
        <v>1E-53</v>
      </c>
      <c r="AB67" s="154">
        <f t="shared" si="323"/>
        <v>0.64554794520547942</v>
      </c>
      <c r="AC67" s="154">
        <f t="shared" si="324"/>
        <v>0.64554794520547942</v>
      </c>
      <c r="AD67" s="154">
        <f t="shared" si="325"/>
        <v>0</v>
      </c>
      <c r="AE67" s="154">
        <f t="shared" si="326"/>
        <v>0</v>
      </c>
      <c r="AF67" s="154">
        <f t="shared" si="327"/>
        <v>0</v>
      </c>
      <c r="AG67" s="154">
        <f t="shared" si="75"/>
        <v>0</v>
      </c>
      <c r="AH67" s="154">
        <f t="shared" si="76"/>
        <v>0</v>
      </c>
      <c r="AI67" s="154">
        <f t="shared" si="77"/>
        <v>0.58732876712328763</v>
      </c>
      <c r="AJ67" s="154">
        <f t="shared" si="78"/>
        <v>5.8219178082191785E-2</v>
      </c>
      <c r="AK67" s="154">
        <f t="shared" si="79"/>
        <v>0</v>
      </c>
      <c r="AL67" s="161">
        <f t="shared" si="80"/>
        <v>587.32876712328766</v>
      </c>
      <c r="AM67" s="161">
        <f t="shared" si="81"/>
        <v>58.219178082191782</v>
      </c>
      <c r="AN67" s="161">
        <f t="shared" si="82"/>
        <v>0</v>
      </c>
      <c r="AO67" s="161"/>
      <c r="AP67" s="154">
        <f t="shared" si="83"/>
        <v>0.64554794520547942</v>
      </c>
      <c r="AQ67" s="154">
        <f t="shared" si="84"/>
        <v>0.64554794520547942</v>
      </c>
      <c r="AR67" s="154">
        <f t="shared" si="85"/>
        <v>0</v>
      </c>
      <c r="AS67" s="161"/>
      <c r="AT67" s="161"/>
      <c r="AU67" s="161"/>
      <c r="AV67" s="161"/>
      <c r="AW67" s="181"/>
      <c r="AX67" s="181"/>
      <c r="AY67" s="181"/>
      <c r="AZ67" s="181"/>
      <c r="BA67" s="181"/>
      <c r="BB67" s="161"/>
      <c r="BC67" s="161"/>
      <c r="BD67" s="161"/>
      <c r="BE67" s="181"/>
      <c r="BF67" s="168"/>
      <c r="BG67" s="181"/>
      <c r="BH67" s="168"/>
      <c r="BI67" s="168"/>
      <c r="BJ67" s="161"/>
      <c r="BK67" s="168"/>
      <c r="BL67" s="168"/>
      <c r="BM67" s="168"/>
      <c r="BN67" s="168"/>
      <c r="BO67" s="168">
        <f t="shared" si="335"/>
        <v>53.446917808219368</v>
      </c>
      <c r="BP67" s="168">
        <f t="shared" si="336"/>
        <v>5.2979452054794711</v>
      </c>
      <c r="BQ67" s="168">
        <f t="shared" si="337"/>
        <v>0</v>
      </c>
      <c r="BR67" s="181"/>
      <c r="BS67" s="161"/>
      <c r="BT67" s="168"/>
      <c r="BU67" s="161"/>
      <c r="BV67" s="161"/>
      <c r="BW67" s="161"/>
      <c r="BX67" s="161"/>
      <c r="CB67" s="181">
        <f t="shared" si="453"/>
        <v>452.08980068207507</v>
      </c>
      <c r="CC67" s="181">
        <f t="shared" si="453"/>
        <v>0</v>
      </c>
      <c r="CD67" s="181">
        <f t="shared" si="453"/>
        <v>528.40822679044925</v>
      </c>
      <c r="CE67" s="181">
        <f t="shared" si="453"/>
        <v>0</v>
      </c>
      <c r="CF67" s="181">
        <f t="shared" si="453"/>
        <v>1757.7130822281113</v>
      </c>
      <c r="CG67" s="181">
        <f t="shared" si="453"/>
        <v>0</v>
      </c>
      <c r="CH67" s="181">
        <f t="shared" si="453"/>
        <v>529.09895649867212</v>
      </c>
      <c r="CI67" s="181">
        <f t="shared" si="453"/>
        <v>0</v>
      </c>
      <c r="CJ67" s="182">
        <f t="shared" si="338"/>
        <v>3267.3100661993076</v>
      </c>
      <c r="CK67" s="161">
        <f t="shared" si="339"/>
        <v>3267.3100661993071</v>
      </c>
      <c r="CL67" s="161">
        <f t="shared" si="243"/>
        <v>529.19999999999993</v>
      </c>
      <c r="CM67" s="182">
        <f t="shared" si="340"/>
        <v>3796.5100661993069</v>
      </c>
      <c r="CN67" s="157">
        <f t="shared" si="341"/>
        <v>297.32521602413806</v>
      </c>
      <c r="CO67" s="162">
        <f t="shared" si="342"/>
        <v>3796.5100661993069</v>
      </c>
      <c r="FT67" s="168">
        <f t="shared" si="244"/>
        <v>2.5</v>
      </c>
      <c r="FU67" s="161">
        <f t="shared" si="245"/>
        <v>350</v>
      </c>
      <c r="FV67" s="161">
        <f t="shared" si="343"/>
        <v>525</v>
      </c>
      <c r="FW67" s="161">
        <f t="shared" si="344"/>
        <v>875</v>
      </c>
      <c r="FX67" s="161">
        <v>308.00000000000102</v>
      </c>
      <c r="FY67" s="168">
        <f t="shared" si="345"/>
        <v>2.5</v>
      </c>
      <c r="FZ67" s="161">
        <v>3.499999999999992E-9</v>
      </c>
      <c r="GA67" s="161">
        <v>5.2499999999999883E-9</v>
      </c>
      <c r="GB67" s="161">
        <v>8.7499999999999807E-9</v>
      </c>
      <c r="GC67" s="168">
        <f t="shared" si="246"/>
        <v>0.56785714285714284</v>
      </c>
      <c r="GD67" s="154">
        <f t="shared" si="97"/>
        <v>21.5</v>
      </c>
      <c r="GE67" s="181">
        <f t="shared" si="346"/>
        <v>21.5</v>
      </c>
      <c r="GF67" s="181">
        <f t="shared" si="347"/>
        <v>21.5</v>
      </c>
      <c r="GG67" s="154">
        <f t="shared" si="99"/>
        <v>21.5</v>
      </c>
      <c r="GH67" s="181">
        <f t="shared" si="348"/>
        <v>21.5</v>
      </c>
      <c r="GI67" s="181">
        <f t="shared" si="349"/>
        <v>21.500000000137579</v>
      </c>
      <c r="GJ67" s="181">
        <f t="shared" si="102"/>
        <v>21.500000000137579</v>
      </c>
      <c r="GK67" s="181">
        <f t="shared" si="103"/>
        <v>21.5</v>
      </c>
      <c r="GL67" s="157">
        <f t="shared" si="350"/>
        <v>0</v>
      </c>
      <c r="GM67" s="157">
        <f t="shared" si="105"/>
        <v>0</v>
      </c>
      <c r="GN67" s="157">
        <f t="shared" si="106"/>
        <v>0</v>
      </c>
      <c r="GO67" s="157">
        <f t="shared" si="107"/>
        <v>0</v>
      </c>
      <c r="GP67" s="157">
        <f t="shared" si="108"/>
        <v>0</v>
      </c>
      <c r="GQ67" s="157">
        <f t="shared" si="109"/>
        <v>3796.5100661993069</v>
      </c>
      <c r="GR67" s="157">
        <f t="shared" si="351"/>
        <v>0</v>
      </c>
      <c r="GS67" s="200">
        <f t="shared" si="352"/>
        <v>2.6339980207166994E-54</v>
      </c>
      <c r="GT67" s="157">
        <f t="shared" si="353"/>
        <v>1E-50</v>
      </c>
      <c r="GU67" s="157">
        <f t="shared" si="354"/>
        <v>645.54794520547944</v>
      </c>
      <c r="GV67" s="162">
        <f t="shared" si="114"/>
        <v>645.54794520547944</v>
      </c>
      <c r="GW67" s="157">
        <f t="shared" si="355"/>
        <v>645.54794520547944</v>
      </c>
      <c r="GX67" s="157">
        <f t="shared" si="247"/>
        <v>0</v>
      </c>
      <c r="GY67" s="207">
        <f t="shared" si="356"/>
        <v>258.21917808219177</v>
      </c>
      <c r="GZ67" s="207">
        <f t="shared" si="116"/>
        <v>0</v>
      </c>
      <c r="HA67" s="157">
        <f t="shared" si="117"/>
        <v>3.499999999999991E-10</v>
      </c>
      <c r="HB67" s="157">
        <f t="shared" si="357"/>
        <v>5.249999999999987E-10</v>
      </c>
      <c r="HC67" s="157">
        <f t="shared" si="358"/>
        <v>8.749999999999977E-10</v>
      </c>
      <c r="HD67" s="168">
        <f t="shared" si="359"/>
        <v>1.0780000000000008E-10</v>
      </c>
      <c r="HE67" s="168">
        <f t="shared" si="360"/>
        <v>1.6170000000000012E-10</v>
      </c>
      <c r="HF67" s="168">
        <f t="shared" si="361"/>
        <v>2.6950000000000021E-10</v>
      </c>
      <c r="HG67" s="157">
        <f t="shared" si="119"/>
        <v>645.54794520460439</v>
      </c>
      <c r="HH67" s="168">
        <f t="shared" si="362"/>
        <v>0</v>
      </c>
      <c r="HI67" s="168">
        <f t="shared" si="363"/>
        <v>3.0800000000000106E-51</v>
      </c>
      <c r="HJ67" s="168">
        <f t="shared" si="364"/>
        <v>198.82876712328832</v>
      </c>
      <c r="HK67" s="168">
        <f t="shared" si="123"/>
        <v>198.82876712301879</v>
      </c>
      <c r="HL67" s="168">
        <f t="shared" si="124"/>
        <v>198.82876712328832</v>
      </c>
      <c r="HM67" s="157">
        <f t="shared" si="125"/>
        <v>8.7500140466545417E-9</v>
      </c>
      <c r="HN67" s="168">
        <f t="shared" si="365"/>
        <v>1.6170000000000012E-10</v>
      </c>
      <c r="HP67" s="168">
        <f t="shared" si="366"/>
        <v>0</v>
      </c>
      <c r="HQ67" s="168">
        <f t="shared" si="367"/>
        <v>0</v>
      </c>
      <c r="HR67" s="181"/>
      <c r="HU67" s="168">
        <f t="shared" ref="HU67:HV67" si="502">HU66</f>
        <v>2.5</v>
      </c>
      <c r="HV67" s="161">
        <f t="shared" si="502"/>
        <v>350</v>
      </c>
      <c r="HW67" s="161">
        <f t="shared" si="369"/>
        <v>525</v>
      </c>
      <c r="HX67" s="161">
        <f t="shared" si="370"/>
        <v>875</v>
      </c>
      <c r="HY67" s="161">
        <v>308.00000000000102</v>
      </c>
      <c r="HZ67" s="168">
        <f t="shared" si="371"/>
        <v>2.5</v>
      </c>
      <c r="IA67" s="161">
        <v>0</v>
      </c>
      <c r="IB67" s="161">
        <v>0</v>
      </c>
      <c r="IC67" s="161">
        <v>0</v>
      </c>
      <c r="ID67" s="168">
        <f t="shared" ref="ID67" si="503">ID66</f>
        <v>0.56785714285714284</v>
      </c>
      <c r="IE67" s="154">
        <f t="shared" si="130"/>
        <v>21.5</v>
      </c>
      <c r="IF67" s="154">
        <f t="shared" si="131"/>
        <v>21.5</v>
      </c>
      <c r="IG67" s="181">
        <f t="shared" si="373"/>
        <v>21.5</v>
      </c>
      <c r="IH67" s="181">
        <f t="shared" si="374"/>
        <v>21.5</v>
      </c>
      <c r="II67" s="181">
        <f t="shared" si="375"/>
        <v>21.5</v>
      </c>
      <c r="IJ67" s="181">
        <f t="shared" si="376"/>
        <v>21.5</v>
      </c>
      <c r="IK67" s="181">
        <f t="shared" si="377"/>
        <v>21.5</v>
      </c>
      <c r="IL67" s="181">
        <f t="shared" si="250"/>
        <v>0</v>
      </c>
      <c r="IM67" s="181">
        <f t="shared" si="137"/>
        <v>21.5</v>
      </c>
      <c r="IN67" s="157">
        <f t="shared" si="378"/>
        <v>0</v>
      </c>
      <c r="IO67" s="157">
        <f t="shared" si="139"/>
        <v>0</v>
      </c>
      <c r="IP67" s="157">
        <f t="shared" si="42"/>
        <v>0</v>
      </c>
      <c r="IQ67" s="157">
        <f t="shared" si="43"/>
        <v>0</v>
      </c>
      <c r="IR67" s="157">
        <f t="shared" si="140"/>
        <v>0</v>
      </c>
      <c r="IS67" s="157">
        <f t="shared" si="141"/>
        <v>3796.5100661993069</v>
      </c>
      <c r="IT67" s="157">
        <f t="shared" si="379"/>
        <v>0</v>
      </c>
      <c r="IU67" s="200">
        <f t="shared" si="380"/>
        <v>2.6339980207166994E-54</v>
      </c>
      <c r="IV67" s="157">
        <f t="shared" si="381"/>
        <v>1E-50</v>
      </c>
      <c r="IW67" s="157">
        <f t="shared" si="382"/>
        <v>645.54794520547944</v>
      </c>
      <c r="IX67" s="162">
        <f t="shared" si="146"/>
        <v>645.54794520547944</v>
      </c>
      <c r="IY67" s="157">
        <f t="shared" si="22"/>
        <v>645.54794520547944</v>
      </c>
      <c r="IZ67" s="157">
        <f t="shared" si="147"/>
        <v>0</v>
      </c>
      <c r="JA67" s="207">
        <f t="shared" si="383"/>
        <v>258.21917808219177</v>
      </c>
      <c r="JB67" s="207">
        <f t="shared" si="149"/>
        <v>0</v>
      </c>
      <c r="JC67" s="157">
        <f t="shared" si="150"/>
        <v>0</v>
      </c>
      <c r="JD67" s="157">
        <f t="shared" si="384"/>
        <v>0</v>
      </c>
      <c r="JE67" s="157">
        <f t="shared" si="385"/>
        <v>0</v>
      </c>
      <c r="JF67" s="168">
        <f t="shared" si="386"/>
        <v>0</v>
      </c>
      <c r="JG67" s="168">
        <f t="shared" si="387"/>
        <v>0</v>
      </c>
      <c r="JH67" s="168">
        <f t="shared" si="388"/>
        <v>0</v>
      </c>
      <c r="JI67" s="157">
        <f t="shared" si="156"/>
        <v>645.54794520547944</v>
      </c>
      <c r="JJ67" s="168">
        <f t="shared" si="389"/>
        <v>0</v>
      </c>
      <c r="JK67" s="168">
        <f t="shared" si="390"/>
        <v>3.0800000000000106E-51</v>
      </c>
      <c r="JL67" s="168">
        <f t="shared" si="391"/>
        <v>198.82876712328832</v>
      </c>
      <c r="JM67" s="168">
        <f t="shared" si="160"/>
        <v>198.82876712328832</v>
      </c>
      <c r="JN67" s="168">
        <f t="shared" si="161"/>
        <v>198.82876712328832</v>
      </c>
      <c r="JO67" s="157">
        <f t="shared" si="162"/>
        <v>0</v>
      </c>
      <c r="JP67" s="168">
        <f t="shared" si="392"/>
        <v>0</v>
      </c>
      <c r="JR67" s="168">
        <f t="shared" si="393"/>
        <v>0</v>
      </c>
      <c r="JS67" s="168">
        <f t="shared" si="394"/>
        <v>0</v>
      </c>
      <c r="JT67" s="181"/>
      <c r="JW67" s="168">
        <f t="shared" ref="JW67:JX67" si="504">JW66</f>
        <v>2.5</v>
      </c>
      <c r="JX67" s="161">
        <f t="shared" si="504"/>
        <v>350</v>
      </c>
      <c r="JY67" s="161">
        <f t="shared" si="396"/>
        <v>525</v>
      </c>
      <c r="JZ67" s="161">
        <f t="shared" si="397"/>
        <v>875</v>
      </c>
      <c r="KA67" s="161">
        <v>308.00000000000102</v>
      </c>
      <c r="KB67" s="168">
        <f t="shared" si="398"/>
        <v>2.5</v>
      </c>
      <c r="KC67" s="161">
        <v>0</v>
      </c>
      <c r="KD67" s="161">
        <v>0</v>
      </c>
      <c r="KE67" s="161">
        <v>0</v>
      </c>
      <c r="KF67" s="168">
        <f t="shared" ref="KF67" si="505">KF66</f>
        <v>0.56785714285714284</v>
      </c>
      <c r="KG67" s="154">
        <f t="shared" si="167"/>
        <v>21.5</v>
      </c>
      <c r="KH67" s="154">
        <f t="shared" si="168"/>
        <v>21.5</v>
      </c>
      <c r="KI67" s="181">
        <f t="shared" si="400"/>
        <v>21.5</v>
      </c>
      <c r="KJ67" s="181">
        <f t="shared" si="401"/>
        <v>21.5</v>
      </c>
      <c r="KK67" s="181">
        <f t="shared" si="402"/>
        <v>21.5</v>
      </c>
      <c r="KL67" s="181">
        <f t="shared" si="403"/>
        <v>21.5</v>
      </c>
      <c r="KM67" s="181">
        <f t="shared" si="404"/>
        <v>21.5</v>
      </c>
      <c r="KN67" s="181">
        <f t="shared" si="253"/>
        <v>0</v>
      </c>
      <c r="KO67" s="181">
        <f t="shared" si="174"/>
        <v>21.5</v>
      </c>
      <c r="KP67" s="157">
        <f t="shared" si="405"/>
        <v>0</v>
      </c>
      <c r="KQ67" s="157">
        <f t="shared" si="46"/>
        <v>0</v>
      </c>
      <c r="KR67" s="157">
        <f t="shared" si="406"/>
        <v>0</v>
      </c>
      <c r="KS67" s="157">
        <f t="shared" si="407"/>
        <v>0</v>
      </c>
      <c r="KT67" s="157">
        <f t="shared" si="178"/>
        <v>0</v>
      </c>
      <c r="KU67" s="157">
        <f t="shared" si="179"/>
        <v>3796.5100661993069</v>
      </c>
      <c r="KV67" s="157">
        <f t="shared" si="408"/>
        <v>0</v>
      </c>
      <c r="KW67" s="200">
        <f t="shared" si="409"/>
        <v>2.6339980207166994E-54</v>
      </c>
      <c r="KX67" s="157">
        <f t="shared" si="410"/>
        <v>1E-50</v>
      </c>
      <c r="KY67" s="157">
        <f t="shared" si="411"/>
        <v>645.54794520547944</v>
      </c>
      <c r="KZ67" s="162">
        <f t="shared" si="47"/>
        <v>645.54794520547944</v>
      </c>
      <c r="LA67" s="157">
        <f t="shared" si="184"/>
        <v>645.54794520547944</v>
      </c>
      <c r="LB67" s="157">
        <f t="shared" si="185"/>
        <v>0</v>
      </c>
      <c r="LC67" s="207">
        <f t="shared" si="412"/>
        <v>258.21917808219177</v>
      </c>
      <c r="LD67" s="207">
        <f t="shared" si="187"/>
        <v>0</v>
      </c>
      <c r="LE67" s="157">
        <f t="shared" si="188"/>
        <v>0</v>
      </c>
      <c r="LF67" s="157">
        <f t="shared" si="413"/>
        <v>0</v>
      </c>
      <c r="LG67" s="157">
        <f t="shared" si="414"/>
        <v>0</v>
      </c>
      <c r="LH67" s="168">
        <f t="shared" si="415"/>
        <v>0</v>
      </c>
      <c r="LI67" s="168">
        <f t="shared" si="416"/>
        <v>0</v>
      </c>
      <c r="LJ67" s="168">
        <f t="shared" si="417"/>
        <v>0</v>
      </c>
      <c r="LK67" s="157">
        <f t="shared" si="194"/>
        <v>645.54794520547944</v>
      </c>
      <c r="LL67" s="168">
        <f t="shared" si="418"/>
        <v>0</v>
      </c>
      <c r="LM67" s="168">
        <f t="shared" si="419"/>
        <v>3.0800000000000106E-51</v>
      </c>
      <c r="LN67" s="168">
        <f t="shared" si="420"/>
        <v>198.82876712328832</v>
      </c>
      <c r="LO67" s="168">
        <f t="shared" si="198"/>
        <v>198.82876712328832</v>
      </c>
      <c r="LP67" s="168">
        <f t="shared" si="199"/>
        <v>198.82876712328832</v>
      </c>
      <c r="LQ67" s="157">
        <f t="shared" si="200"/>
        <v>0</v>
      </c>
      <c r="LR67" s="168">
        <f t="shared" si="421"/>
        <v>0</v>
      </c>
      <c r="LT67" s="168">
        <f t="shared" si="422"/>
        <v>0</v>
      </c>
      <c r="LU67" s="168">
        <f t="shared" si="423"/>
        <v>0</v>
      </c>
      <c r="LV67" s="181"/>
      <c r="LY67" s="168">
        <f t="shared" ref="LY67:LZ67" si="506">LY66</f>
        <v>2.5</v>
      </c>
      <c r="LZ67" s="161">
        <f t="shared" si="506"/>
        <v>350</v>
      </c>
      <c r="MA67" s="161">
        <f t="shared" si="425"/>
        <v>525</v>
      </c>
      <c r="MB67" s="161">
        <f t="shared" si="426"/>
        <v>875</v>
      </c>
      <c r="MC67" s="161">
        <v>308.00000000000102</v>
      </c>
      <c r="MD67" s="168">
        <f t="shared" si="427"/>
        <v>2.5</v>
      </c>
      <c r="ME67" s="161">
        <v>0</v>
      </c>
      <c r="MF67" s="161">
        <v>0</v>
      </c>
      <c r="MG67" s="161">
        <v>0</v>
      </c>
      <c r="MH67" s="168">
        <f t="shared" ref="MH67" si="507">MH66</f>
        <v>0.56785714285714284</v>
      </c>
      <c r="MI67" s="154">
        <f t="shared" si="205"/>
        <v>21.5</v>
      </c>
      <c r="MJ67" s="181">
        <f t="shared" si="429"/>
        <v>21.5</v>
      </c>
      <c r="MK67" s="181">
        <f t="shared" si="430"/>
        <v>21.5</v>
      </c>
      <c r="ML67" s="154">
        <f t="shared" si="208"/>
        <v>21.5</v>
      </c>
      <c r="MM67" s="181">
        <f t="shared" si="431"/>
        <v>21.5</v>
      </c>
      <c r="MN67" s="181">
        <f t="shared" si="432"/>
        <v>21.5</v>
      </c>
      <c r="MO67" s="181">
        <f t="shared" si="433"/>
        <v>21.5</v>
      </c>
      <c r="MP67" s="181">
        <f t="shared" si="212"/>
        <v>21.5</v>
      </c>
      <c r="MQ67" s="157">
        <f t="shared" si="434"/>
        <v>0</v>
      </c>
      <c r="MR67" s="157">
        <f t="shared" si="213"/>
        <v>0</v>
      </c>
      <c r="MS67" s="157">
        <f t="shared" si="435"/>
        <v>0</v>
      </c>
      <c r="MT67" s="157">
        <f t="shared" si="436"/>
        <v>0</v>
      </c>
      <c r="MU67" s="157">
        <f t="shared" si="216"/>
        <v>0</v>
      </c>
      <c r="MV67" s="157">
        <f t="shared" si="217"/>
        <v>3796.5100661993069</v>
      </c>
      <c r="MW67" s="157">
        <f t="shared" si="437"/>
        <v>0</v>
      </c>
      <c r="MX67" s="200">
        <f t="shared" si="438"/>
        <v>2.6339980207166994E-54</v>
      </c>
      <c r="MY67" s="157">
        <f t="shared" si="439"/>
        <v>1E-50</v>
      </c>
      <c r="MZ67" s="157">
        <f t="shared" si="440"/>
        <v>645.54794520547944</v>
      </c>
      <c r="NA67" s="162">
        <f t="shared" si="222"/>
        <v>645.54794520547944</v>
      </c>
      <c r="NB67" s="157">
        <f t="shared" si="223"/>
        <v>645.54794520547944</v>
      </c>
      <c r="NC67" s="157">
        <f t="shared" si="224"/>
        <v>0</v>
      </c>
      <c r="ND67" s="207">
        <f t="shared" si="441"/>
        <v>258.21917808219177</v>
      </c>
      <c r="NE67" s="207">
        <f t="shared" si="225"/>
        <v>0</v>
      </c>
      <c r="NF67" s="157">
        <f t="shared" si="226"/>
        <v>0</v>
      </c>
      <c r="NG67" s="157">
        <f t="shared" si="442"/>
        <v>0</v>
      </c>
      <c r="NH67" s="157">
        <f t="shared" si="443"/>
        <v>0</v>
      </c>
      <c r="NI67" s="168">
        <f t="shared" si="444"/>
        <v>0</v>
      </c>
      <c r="NJ67" s="168">
        <f t="shared" si="445"/>
        <v>0</v>
      </c>
      <c r="NK67" s="168">
        <f t="shared" si="446"/>
        <v>0</v>
      </c>
      <c r="NL67" s="157">
        <f t="shared" si="230"/>
        <v>645.54794520547944</v>
      </c>
      <c r="NM67" s="168">
        <f t="shared" si="447"/>
        <v>0</v>
      </c>
      <c r="NN67" s="168">
        <f t="shared" si="448"/>
        <v>3.0800000000000106E-51</v>
      </c>
      <c r="NO67" s="168">
        <f t="shared" si="449"/>
        <v>198.82876712328832</v>
      </c>
      <c r="NP67" s="168">
        <f t="shared" si="234"/>
        <v>198.82876712328832</v>
      </c>
      <c r="NQ67" s="168">
        <f t="shared" si="235"/>
        <v>198.82876712328832</v>
      </c>
      <c r="NR67" s="157">
        <f t="shared" si="236"/>
        <v>0</v>
      </c>
      <c r="NS67" s="168">
        <f t="shared" si="450"/>
        <v>0</v>
      </c>
      <c r="NT67" s="157">
        <f t="shared" si="319"/>
        <v>645.54794520547944</v>
      </c>
      <c r="NU67" s="168">
        <f t="shared" si="451"/>
        <v>0</v>
      </c>
      <c r="NV67" s="168">
        <f t="shared" si="452"/>
        <v>0</v>
      </c>
      <c r="NX67" s="157"/>
      <c r="NY67" s="157"/>
      <c r="NZ67" s="157"/>
      <c r="OA67" s="157"/>
      <c r="OB67" s="157"/>
    </row>
    <row r="68" spans="1:392" ht="13" x14ac:dyDescent="0.3">
      <c r="A68" s="154">
        <v>98.698630136986296</v>
      </c>
      <c r="B68" s="154">
        <v>22.5</v>
      </c>
      <c r="C68" s="154">
        <f t="shared" si="320"/>
        <v>22.5</v>
      </c>
      <c r="D68" s="154">
        <v>22371.999999999989</v>
      </c>
      <c r="E68" s="200">
        <f t="shared" si="332"/>
        <v>456.57142857143748</v>
      </c>
      <c r="F68" s="181">
        <f t="shared" si="333"/>
        <v>0</v>
      </c>
      <c r="G68" s="161">
        <f t="shared" si="334"/>
        <v>48.999999999999019</v>
      </c>
      <c r="H68" s="154">
        <f t="shared" si="55"/>
        <v>0</v>
      </c>
      <c r="I68" s="161">
        <f t="shared" si="56"/>
        <v>0</v>
      </c>
      <c r="J68" s="181">
        <f t="shared" si="57"/>
        <v>22.5</v>
      </c>
      <c r="K68" s="181">
        <f t="shared" si="58"/>
        <v>22.5</v>
      </c>
      <c r="L68" s="181">
        <f t="shared" si="59"/>
        <v>22.5</v>
      </c>
      <c r="M68" s="181">
        <f t="shared" si="60"/>
        <v>22.5</v>
      </c>
      <c r="N68" s="181">
        <f t="shared" si="61"/>
        <v>22.5</v>
      </c>
      <c r="O68" s="181">
        <f t="shared" si="62"/>
        <v>22.5</v>
      </c>
      <c r="P68" s="181">
        <f t="shared" si="63"/>
        <v>22.5</v>
      </c>
      <c r="Q68" s="181">
        <f t="shared" si="64"/>
        <v>22.5</v>
      </c>
      <c r="R68" s="168">
        <f t="shared" si="65"/>
        <v>0</v>
      </c>
      <c r="S68" s="161">
        <f t="shared" si="66"/>
        <v>31.631849315067857</v>
      </c>
      <c r="T68" s="161">
        <f t="shared" si="67"/>
        <v>32.65012492461446</v>
      </c>
      <c r="U68" s="161">
        <f t="shared" si="68"/>
        <v>32.65012492461446</v>
      </c>
      <c r="V68" s="154">
        <f t="shared" si="69"/>
        <v>0</v>
      </c>
      <c r="W68" s="154">
        <f t="shared" si="70"/>
        <v>0.64554794520547942</v>
      </c>
      <c r="X68" s="154">
        <f t="shared" si="71"/>
        <v>0.64554794520547942</v>
      </c>
      <c r="Y68" s="154">
        <f t="shared" si="72"/>
        <v>0.64554794520547942</v>
      </c>
      <c r="Z68" s="154">
        <f t="shared" si="321"/>
        <v>0</v>
      </c>
      <c r="AA68" s="154">
        <f t="shared" si="322"/>
        <v>1E-53</v>
      </c>
      <c r="AB68" s="154">
        <f t="shared" si="323"/>
        <v>0.64554794520547942</v>
      </c>
      <c r="AC68" s="154">
        <f t="shared" si="324"/>
        <v>0.64554794520547942</v>
      </c>
      <c r="AD68" s="154">
        <f t="shared" si="325"/>
        <v>0</v>
      </c>
      <c r="AE68" s="154">
        <f t="shared" si="326"/>
        <v>0</v>
      </c>
      <c r="AF68" s="154">
        <f t="shared" si="327"/>
        <v>0</v>
      </c>
      <c r="AG68" s="154">
        <f t="shared" si="75"/>
        <v>0</v>
      </c>
      <c r="AH68" s="154">
        <f t="shared" si="76"/>
        <v>0</v>
      </c>
      <c r="AI68" s="154">
        <f t="shared" si="77"/>
        <v>0.58732876712328763</v>
      </c>
      <c r="AJ68" s="154">
        <f t="shared" si="78"/>
        <v>5.8219178082191785E-2</v>
      </c>
      <c r="AK68" s="154">
        <f t="shared" si="79"/>
        <v>0</v>
      </c>
      <c r="AL68" s="161">
        <f t="shared" si="80"/>
        <v>587.32876712328766</v>
      </c>
      <c r="AM68" s="161">
        <f t="shared" si="81"/>
        <v>58.219178082191782</v>
      </c>
      <c r="AN68" s="161">
        <f t="shared" si="82"/>
        <v>0</v>
      </c>
      <c r="AO68" s="161"/>
      <c r="AP68" s="154">
        <f t="shared" si="83"/>
        <v>0.64554794520547942</v>
      </c>
      <c r="AQ68" s="154">
        <f t="shared" si="84"/>
        <v>0.64554794520547942</v>
      </c>
      <c r="AR68" s="154">
        <f t="shared" si="85"/>
        <v>0</v>
      </c>
      <c r="AS68" s="161"/>
      <c r="AT68" s="161"/>
      <c r="AU68" s="161"/>
      <c r="AV68" s="161"/>
      <c r="AW68" s="181"/>
      <c r="AX68" s="181"/>
      <c r="AY68" s="181"/>
      <c r="AZ68" s="181"/>
      <c r="BA68" s="181"/>
      <c r="BB68" s="161"/>
      <c r="BC68" s="161"/>
      <c r="BD68" s="161"/>
      <c r="BE68" s="181"/>
      <c r="BF68" s="168"/>
      <c r="BG68" s="181"/>
      <c r="BH68" s="168"/>
      <c r="BI68" s="168"/>
      <c r="BJ68" s="161"/>
      <c r="BK68" s="168"/>
      <c r="BL68" s="168"/>
      <c r="BM68" s="168"/>
      <c r="BN68" s="168"/>
      <c r="BO68" s="168">
        <f t="shared" si="335"/>
        <v>28.77910958904052</v>
      </c>
      <c r="BP68" s="168">
        <f t="shared" si="336"/>
        <v>2.8527397260273402</v>
      </c>
      <c r="BQ68" s="168">
        <f t="shared" si="337"/>
        <v>0</v>
      </c>
      <c r="BR68" s="181"/>
      <c r="BS68" s="161"/>
      <c r="BT68" s="168"/>
      <c r="BU68" s="161"/>
      <c r="BV68" s="161"/>
      <c r="BW68" s="161"/>
      <c r="BX68" s="161"/>
      <c r="CB68" s="181">
        <f t="shared" si="453"/>
        <v>418.67668451489357</v>
      </c>
      <c r="CC68" s="181">
        <f t="shared" si="453"/>
        <v>0</v>
      </c>
      <c r="CD68" s="181">
        <f t="shared" si="453"/>
        <v>489.35455772114898</v>
      </c>
      <c r="CE68" s="181">
        <f t="shared" si="453"/>
        <v>0</v>
      </c>
      <c r="CF68" s="181">
        <f t="shared" si="453"/>
        <v>1627.8037781109763</v>
      </c>
      <c r="CG68" s="181">
        <f t="shared" si="453"/>
        <v>0</v>
      </c>
      <c r="CH68" s="181">
        <f t="shared" si="453"/>
        <v>489.99423688156884</v>
      </c>
      <c r="CI68" s="181">
        <f t="shared" si="453"/>
        <v>0</v>
      </c>
      <c r="CJ68" s="182">
        <f t="shared" si="338"/>
        <v>3025.8292572285877</v>
      </c>
      <c r="CK68" s="161">
        <f t="shared" si="339"/>
        <v>3025.8292572285877</v>
      </c>
      <c r="CL68" s="161">
        <f t="shared" si="243"/>
        <v>529.19999999999993</v>
      </c>
      <c r="CM68" s="182">
        <f t="shared" si="340"/>
        <v>3555.0292572285875</v>
      </c>
      <c r="CN68" s="157">
        <f t="shared" si="341"/>
        <v>148.26563360419783</v>
      </c>
      <c r="CO68" s="162">
        <f t="shared" si="342"/>
        <v>3555.0292572285875</v>
      </c>
      <c r="FT68" s="168">
        <f t="shared" si="244"/>
        <v>2.5</v>
      </c>
      <c r="FU68" s="161">
        <f t="shared" si="245"/>
        <v>350</v>
      </c>
      <c r="FV68" s="161">
        <f t="shared" si="343"/>
        <v>525</v>
      </c>
      <c r="FW68" s="161">
        <f t="shared" si="344"/>
        <v>875</v>
      </c>
      <c r="FX68" s="161">
        <v>309.00000000000102</v>
      </c>
      <c r="FY68" s="168">
        <f t="shared" si="345"/>
        <v>2.5</v>
      </c>
      <c r="FZ68" s="161">
        <v>3.499999999999992E-9</v>
      </c>
      <c r="GA68" s="161">
        <v>5.2499999999999883E-9</v>
      </c>
      <c r="GB68" s="161">
        <v>8.7499999999999807E-9</v>
      </c>
      <c r="GC68" s="168">
        <f t="shared" si="246"/>
        <v>0.56785714285714284</v>
      </c>
      <c r="GD68" s="154">
        <f t="shared" si="97"/>
        <v>22.5</v>
      </c>
      <c r="GE68" s="181">
        <f t="shared" si="346"/>
        <v>22.5</v>
      </c>
      <c r="GF68" s="181">
        <f t="shared" si="347"/>
        <v>22.5</v>
      </c>
      <c r="GG68" s="154">
        <f t="shared" si="99"/>
        <v>22.5</v>
      </c>
      <c r="GH68" s="181">
        <f t="shared" si="348"/>
        <v>22.5</v>
      </c>
      <c r="GI68" s="181">
        <f t="shared" si="349"/>
        <v>22.500000000137579</v>
      </c>
      <c r="GJ68" s="181">
        <f t="shared" si="102"/>
        <v>22.500000000137579</v>
      </c>
      <c r="GK68" s="181">
        <f t="shared" si="103"/>
        <v>22.5</v>
      </c>
      <c r="GL68" s="157">
        <f t="shared" si="350"/>
        <v>0</v>
      </c>
      <c r="GM68" s="157">
        <f t="shared" si="105"/>
        <v>0</v>
      </c>
      <c r="GN68" s="157">
        <f t="shared" si="106"/>
        <v>0</v>
      </c>
      <c r="GO68" s="157">
        <f t="shared" si="107"/>
        <v>0</v>
      </c>
      <c r="GP68" s="157">
        <f t="shared" si="108"/>
        <v>0</v>
      </c>
      <c r="GQ68" s="157">
        <f t="shared" si="109"/>
        <v>3555.0292572285875</v>
      </c>
      <c r="GR68" s="157">
        <f t="shared" si="351"/>
        <v>0</v>
      </c>
      <c r="GS68" s="200">
        <f t="shared" si="352"/>
        <v>2.8129163718319865E-54</v>
      </c>
      <c r="GT68" s="157">
        <f t="shared" si="353"/>
        <v>1E-50</v>
      </c>
      <c r="GU68" s="157">
        <f t="shared" si="354"/>
        <v>645.54794520547944</v>
      </c>
      <c r="GV68" s="162">
        <f t="shared" si="114"/>
        <v>645.54794520547944</v>
      </c>
      <c r="GW68" s="157">
        <f t="shared" si="355"/>
        <v>645.54794520547944</v>
      </c>
      <c r="GX68" s="157">
        <f t="shared" si="247"/>
        <v>0</v>
      </c>
      <c r="GY68" s="207">
        <f t="shared" si="356"/>
        <v>258.21917808219177</v>
      </c>
      <c r="GZ68" s="207">
        <f t="shared" si="116"/>
        <v>0</v>
      </c>
      <c r="HA68" s="157">
        <f t="shared" si="117"/>
        <v>3.499999999999991E-10</v>
      </c>
      <c r="HB68" s="157">
        <f t="shared" si="357"/>
        <v>5.249999999999987E-10</v>
      </c>
      <c r="HC68" s="157">
        <f t="shared" si="358"/>
        <v>8.749999999999977E-10</v>
      </c>
      <c r="HD68" s="168">
        <f t="shared" si="359"/>
        <v>1.0815000000000009E-10</v>
      </c>
      <c r="HE68" s="168">
        <f t="shared" si="360"/>
        <v>1.6222500000000013E-10</v>
      </c>
      <c r="HF68" s="168">
        <f t="shared" si="361"/>
        <v>2.7037500000000016E-10</v>
      </c>
      <c r="HG68" s="157">
        <f t="shared" si="119"/>
        <v>645.54794520460439</v>
      </c>
      <c r="HH68" s="168">
        <f t="shared" si="362"/>
        <v>0</v>
      </c>
      <c r="HI68" s="168">
        <f t="shared" si="363"/>
        <v>3.0900000000000105E-51</v>
      </c>
      <c r="HJ68" s="168">
        <f t="shared" si="364"/>
        <v>199.47431506849381</v>
      </c>
      <c r="HK68" s="168">
        <f t="shared" si="123"/>
        <v>199.4743150682234</v>
      </c>
      <c r="HL68" s="168">
        <f t="shared" si="124"/>
        <v>199.47431506849381</v>
      </c>
      <c r="HM68" s="157">
        <f t="shared" si="125"/>
        <v>8.7500140466545417E-9</v>
      </c>
      <c r="HN68" s="168">
        <f t="shared" si="365"/>
        <v>1.6222500000000013E-10</v>
      </c>
      <c r="HP68" s="168">
        <f t="shared" si="366"/>
        <v>0</v>
      </c>
      <c r="HQ68" s="168">
        <f t="shared" si="367"/>
        <v>0</v>
      </c>
      <c r="HR68" s="181"/>
      <c r="HU68" s="168">
        <f t="shared" ref="HU68:HV68" si="508">HU67</f>
        <v>2.5</v>
      </c>
      <c r="HV68" s="161">
        <f t="shared" si="508"/>
        <v>350</v>
      </c>
      <c r="HW68" s="161">
        <f t="shared" si="369"/>
        <v>525</v>
      </c>
      <c r="HX68" s="161">
        <f t="shared" si="370"/>
        <v>875</v>
      </c>
      <c r="HY68" s="161">
        <v>309.00000000000102</v>
      </c>
      <c r="HZ68" s="168">
        <f t="shared" si="371"/>
        <v>2.5</v>
      </c>
      <c r="IA68" s="161">
        <v>0</v>
      </c>
      <c r="IB68" s="161">
        <v>0</v>
      </c>
      <c r="IC68" s="161">
        <v>0</v>
      </c>
      <c r="ID68" s="168">
        <f t="shared" ref="ID68" si="509">ID67</f>
        <v>0.56785714285714284</v>
      </c>
      <c r="IE68" s="154">
        <f t="shared" si="130"/>
        <v>22.5</v>
      </c>
      <c r="IF68" s="154">
        <f t="shared" si="131"/>
        <v>22.5</v>
      </c>
      <c r="IG68" s="181">
        <f t="shared" si="373"/>
        <v>22.5</v>
      </c>
      <c r="IH68" s="181">
        <f t="shared" si="374"/>
        <v>22.5</v>
      </c>
      <c r="II68" s="181">
        <f t="shared" si="375"/>
        <v>22.5</v>
      </c>
      <c r="IJ68" s="181">
        <f t="shared" si="376"/>
        <v>22.5</v>
      </c>
      <c r="IK68" s="181">
        <f t="shared" si="377"/>
        <v>22.5</v>
      </c>
      <c r="IL68" s="181">
        <f t="shared" si="250"/>
        <v>0</v>
      </c>
      <c r="IM68" s="181">
        <f t="shared" si="137"/>
        <v>22.5</v>
      </c>
      <c r="IN68" s="157">
        <f t="shared" si="378"/>
        <v>0</v>
      </c>
      <c r="IO68" s="157">
        <f t="shared" si="139"/>
        <v>0</v>
      </c>
      <c r="IP68" s="157">
        <f t="shared" si="42"/>
        <v>0</v>
      </c>
      <c r="IQ68" s="157">
        <f t="shared" si="43"/>
        <v>0</v>
      </c>
      <c r="IR68" s="157">
        <f t="shared" si="140"/>
        <v>0</v>
      </c>
      <c r="IS68" s="157">
        <f t="shared" si="141"/>
        <v>3555.0292572285875</v>
      </c>
      <c r="IT68" s="157">
        <f t="shared" si="379"/>
        <v>0</v>
      </c>
      <c r="IU68" s="200">
        <f t="shared" si="380"/>
        <v>2.8129163718319865E-54</v>
      </c>
      <c r="IV68" s="157">
        <f t="shared" si="381"/>
        <v>1E-50</v>
      </c>
      <c r="IW68" s="157">
        <f t="shared" si="382"/>
        <v>645.54794520547944</v>
      </c>
      <c r="IX68" s="162">
        <f t="shared" si="146"/>
        <v>645.54794520547944</v>
      </c>
      <c r="IY68" s="157">
        <f t="shared" si="22"/>
        <v>645.54794520547944</v>
      </c>
      <c r="IZ68" s="157">
        <f t="shared" si="147"/>
        <v>0</v>
      </c>
      <c r="JA68" s="207">
        <f t="shared" si="383"/>
        <v>258.21917808219177</v>
      </c>
      <c r="JB68" s="207">
        <f t="shared" si="149"/>
        <v>0</v>
      </c>
      <c r="JC68" s="157">
        <f t="shared" si="150"/>
        <v>0</v>
      </c>
      <c r="JD68" s="157">
        <f t="shared" si="384"/>
        <v>0</v>
      </c>
      <c r="JE68" s="157">
        <f t="shared" si="385"/>
        <v>0</v>
      </c>
      <c r="JF68" s="168">
        <f t="shared" si="386"/>
        <v>0</v>
      </c>
      <c r="JG68" s="168">
        <f t="shared" si="387"/>
        <v>0</v>
      </c>
      <c r="JH68" s="168">
        <f t="shared" si="388"/>
        <v>0</v>
      </c>
      <c r="JI68" s="157">
        <f t="shared" si="156"/>
        <v>645.54794520547944</v>
      </c>
      <c r="JJ68" s="168">
        <f t="shared" si="389"/>
        <v>0</v>
      </c>
      <c r="JK68" s="168">
        <f t="shared" si="390"/>
        <v>3.0900000000000105E-51</v>
      </c>
      <c r="JL68" s="168">
        <f t="shared" si="391"/>
        <v>199.47431506849381</v>
      </c>
      <c r="JM68" s="168">
        <f t="shared" si="160"/>
        <v>199.47431506849381</v>
      </c>
      <c r="JN68" s="168">
        <f t="shared" si="161"/>
        <v>199.47431506849381</v>
      </c>
      <c r="JO68" s="157">
        <f t="shared" si="162"/>
        <v>0</v>
      </c>
      <c r="JP68" s="168">
        <f t="shared" si="392"/>
        <v>0</v>
      </c>
      <c r="JR68" s="168">
        <f t="shared" si="393"/>
        <v>0</v>
      </c>
      <c r="JS68" s="168">
        <f t="shared" si="394"/>
        <v>0</v>
      </c>
      <c r="JT68" s="181"/>
      <c r="JW68" s="168">
        <f t="shared" ref="JW68:JX68" si="510">JW67</f>
        <v>2.5</v>
      </c>
      <c r="JX68" s="161">
        <f t="shared" si="510"/>
        <v>350</v>
      </c>
      <c r="JY68" s="161">
        <f t="shared" si="396"/>
        <v>525</v>
      </c>
      <c r="JZ68" s="161">
        <f t="shared" si="397"/>
        <v>875</v>
      </c>
      <c r="KA68" s="161">
        <v>309.00000000000102</v>
      </c>
      <c r="KB68" s="168">
        <f t="shared" si="398"/>
        <v>2.5</v>
      </c>
      <c r="KC68" s="161">
        <v>0</v>
      </c>
      <c r="KD68" s="161">
        <v>0</v>
      </c>
      <c r="KE68" s="161">
        <v>0</v>
      </c>
      <c r="KF68" s="168">
        <f t="shared" ref="KF68" si="511">KF67</f>
        <v>0.56785714285714284</v>
      </c>
      <c r="KG68" s="154">
        <f t="shared" si="167"/>
        <v>22.5</v>
      </c>
      <c r="KH68" s="154">
        <f t="shared" si="168"/>
        <v>22.5</v>
      </c>
      <c r="KI68" s="181">
        <f t="shared" si="400"/>
        <v>22.5</v>
      </c>
      <c r="KJ68" s="181">
        <f t="shared" si="401"/>
        <v>22.5</v>
      </c>
      <c r="KK68" s="181">
        <f t="shared" si="402"/>
        <v>22.5</v>
      </c>
      <c r="KL68" s="181">
        <f t="shared" si="403"/>
        <v>22.5</v>
      </c>
      <c r="KM68" s="181">
        <f t="shared" si="404"/>
        <v>22.5</v>
      </c>
      <c r="KN68" s="181">
        <f t="shared" si="253"/>
        <v>0</v>
      </c>
      <c r="KO68" s="181">
        <f t="shared" si="174"/>
        <v>22.5</v>
      </c>
      <c r="KP68" s="157">
        <f t="shared" si="405"/>
        <v>0</v>
      </c>
      <c r="KQ68" s="157">
        <f t="shared" si="46"/>
        <v>0</v>
      </c>
      <c r="KR68" s="157">
        <f t="shared" si="406"/>
        <v>0</v>
      </c>
      <c r="KS68" s="157">
        <f t="shared" si="407"/>
        <v>0</v>
      </c>
      <c r="KT68" s="157">
        <f t="shared" si="178"/>
        <v>0</v>
      </c>
      <c r="KU68" s="157">
        <f t="shared" si="179"/>
        <v>3555.0292572285875</v>
      </c>
      <c r="KV68" s="157">
        <f t="shared" si="408"/>
        <v>0</v>
      </c>
      <c r="KW68" s="200">
        <f t="shared" si="409"/>
        <v>2.8129163718319865E-54</v>
      </c>
      <c r="KX68" s="157">
        <f t="shared" si="410"/>
        <v>1E-50</v>
      </c>
      <c r="KY68" s="157">
        <f t="shared" si="411"/>
        <v>645.54794520547944</v>
      </c>
      <c r="KZ68" s="162">
        <f t="shared" si="47"/>
        <v>645.54794520547944</v>
      </c>
      <c r="LA68" s="157">
        <f t="shared" si="184"/>
        <v>645.54794520547944</v>
      </c>
      <c r="LB68" s="157">
        <f t="shared" si="185"/>
        <v>0</v>
      </c>
      <c r="LC68" s="207">
        <f t="shared" si="412"/>
        <v>258.21917808219177</v>
      </c>
      <c r="LD68" s="207">
        <f t="shared" si="187"/>
        <v>0</v>
      </c>
      <c r="LE68" s="157">
        <f t="shared" si="188"/>
        <v>0</v>
      </c>
      <c r="LF68" s="157">
        <f t="shared" si="413"/>
        <v>0</v>
      </c>
      <c r="LG68" s="157">
        <f t="shared" si="414"/>
        <v>0</v>
      </c>
      <c r="LH68" s="168">
        <f t="shared" si="415"/>
        <v>0</v>
      </c>
      <c r="LI68" s="168">
        <f t="shared" si="416"/>
        <v>0</v>
      </c>
      <c r="LJ68" s="168">
        <f t="shared" si="417"/>
        <v>0</v>
      </c>
      <c r="LK68" s="157">
        <f t="shared" si="194"/>
        <v>645.54794520547944</v>
      </c>
      <c r="LL68" s="168">
        <f t="shared" si="418"/>
        <v>0</v>
      </c>
      <c r="LM68" s="168">
        <f t="shared" si="419"/>
        <v>3.0900000000000105E-51</v>
      </c>
      <c r="LN68" s="168">
        <f t="shared" si="420"/>
        <v>199.47431506849381</v>
      </c>
      <c r="LO68" s="168">
        <f t="shared" si="198"/>
        <v>199.47431506849381</v>
      </c>
      <c r="LP68" s="168">
        <f t="shared" si="199"/>
        <v>199.47431506849381</v>
      </c>
      <c r="LQ68" s="157">
        <f t="shared" si="200"/>
        <v>0</v>
      </c>
      <c r="LR68" s="168">
        <f t="shared" si="421"/>
        <v>0</v>
      </c>
      <c r="LT68" s="168">
        <f t="shared" si="422"/>
        <v>0</v>
      </c>
      <c r="LU68" s="168">
        <f t="shared" si="423"/>
        <v>0</v>
      </c>
      <c r="LV68" s="181"/>
      <c r="LY68" s="168">
        <f t="shared" ref="LY68:LZ68" si="512">LY67</f>
        <v>2.5</v>
      </c>
      <c r="LZ68" s="161">
        <f t="shared" si="512"/>
        <v>350</v>
      </c>
      <c r="MA68" s="161">
        <f t="shared" si="425"/>
        <v>525</v>
      </c>
      <c r="MB68" s="161">
        <f t="shared" si="426"/>
        <v>875</v>
      </c>
      <c r="MC68" s="161">
        <v>309.00000000000102</v>
      </c>
      <c r="MD68" s="168">
        <f t="shared" si="427"/>
        <v>2.5</v>
      </c>
      <c r="ME68" s="161">
        <v>0</v>
      </c>
      <c r="MF68" s="161">
        <v>0</v>
      </c>
      <c r="MG68" s="161">
        <v>0</v>
      </c>
      <c r="MH68" s="168">
        <f t="shared" ref="MH68" si="513">MH67</f>
        <v>0.56785714285714284</v>
      </c>
      <c r="MI68" s="154">
        <f t="shared" si="205"/>
        <v>22.5</v>
      </c>
      <c r="MJ68" s="181">
        <f t="shared" si="429"/>
        <v>22.5</v>
      </c>
      <c r="MK68" s="181">
        <f t="shared" si="430"/>
        <v>22.5</v>
      </c>
      <c r="ML68" s="154">
        <f t="shared" si="208"/>
        <v>22.5</v>
      </c>
      <c r="MM68" s="181">
        <f t="shared" si="431"/>
        <v>22.5</v>
      </c>
      <c r="MN68" s="181">
        <f t="shared" si="432"/>
        <v>22.5</v>
      </c>
      <c r="MO68" s="181">
        <f t="shared" si="433"/>
        <v>22.5</v>
      </c>
      <c r="MP68" s="181">
        <f t="shared" si="212"/>
        <v>22.5</v>
      </c>
      <c r="MQ68" s="157">
        <f t="shared" si="434"/>
        <v>0</v>
      </c>
      <c r="MR68" s="157">
        <f t="shared" si="213"/>
        <v>0</v>
      </c>
      <c r="MS68" s="157">
        <f t="shared" si="435"/>
        <v>0</v>
      </c>
      <c r="MT68" s="157">
        <f t="shared" si="436"/>
        <v>0</v>
      </c>
      <c r="MU68" s="157">
        <f t="shared" si="216"/>
        <v>0</v>
      </c>
      <c r="MV68" s="157">
        <f t="shared" si="217"/>
        <v>3555.0292572285875</v>
      </c>
      <c r="MW68" s="157">
        <f t="shared" si="437"/>
        <v>0</v>
      </c>
      <c r="MX68" s="200">
        <f t="shared" si="438"/>
        <v>2.8129163718319865E-54</v>
      </c>
      <c r="MY68" s="157">
        <f t="shared" si="439"/>
        <v>1E-50</v>
      </c>
      <c r="MZ68" s="157">
        <f t="shared" si="440"/>
        <v>645.54794520547944</v>
      </c>
      <c r="NA68" s="162">
        <f t="shared" si="222"/>
        <v>645.54794520547944</v>
      </c>
      <c r="NB68" s="157">
        <f t="shared" si="223"/>
        <v>645.54794520547944</v>
      </c>
      <c r="NC68" s="157">
        <f t="shared" si="224"/>
        <v>0</v>
      </c>
      <c r="ND68" s="207">
        <f t="shared" si="441"/>
        <v>258.21917808219177</v>
      </c>
      <c r="NE68" s="207">
        <f t="shared" si="225"/>
        <v>0</v>
      </c>
      <c r="NF68" s="157">
        <f t="shared" si="226"/>
        <v>0</v>
      </c>
      <c r="NG68" s="157">
        <f t="shared" si="442"/>
        <v>0</v>
      </c>
      <c r="NH68" s="157">
        <f t="shared" si="443"/>
        <v>0</v>
      </c>
      <c r="NI68" s="168">
        <f t="shared" si="444"/>
        <v>0</v>
      </c>
      <c r="NJ68" s="168">
        <f t="shared" si="445"/>
        <v>0</v>
      </c>
      <c r="NK68" s="168">
        <f t="shared" si="446"/>
        <v>0</v>
      </c>
      <c r="NL68" s="157">
        <f t="shared" si="230"/>
        <v>645.54794520547944</v>
      </c>
      <c r="NM68" s="168">
        <f t="shared" si="447"/>
        <v>0</v>
      </c>
      <c r="NN68" s="168">
        <f t="shared" si="448"/>
        <v>3.0900000000000105E-51</v>
      </c>
      <c r="NO68" s="168">
        <f t="shared" si="449"/>
        <v>199.47431506849381</v>
      </c>
      <c r="NP68" s="168">
        <f t="shared" si="234"/>
        <v>199.47431506849381</v>
      </c>
      <c r="NQ68" s="168">
        <f t="shared" si="235"/>
        <v>199.47431506849381</v>
      </c>
      <c r="NR68" s="157">
        <f t="shared" si="236"/>
        <v>0</v>
      </c>
      <c r="NS68" s="168">
        <f t="shared" si="450"/>
        <v>0</v>
      </c>
      <c r="NT68" s="157">
        <f t="shared" si="319"/>
        <v>645.54794520547944</v>
      </c>
      <c r="NU68" s="168">
        <f t="shared" si="451"/>
        <v>0</v>
      </c>
      <c r="NV68" s="168">
        <f t="shared" si="452"/>
        <v>0</v>
      </c>
      <c r="NX68" s="157"/>
      <c r="NY68" s="157"/>
      <c r="NZ68" s="157"/>
      <c r="OA68" s="157"/>
      <c r="OB68" s="157"/>
    </row>
    <row r="69" spans="1:392" ht="13" x14ac:dyDescent="0.3">
      <c r="A69" s="154">
        <v>99.166666666666671</v>
      </c>
      <c r="B69" s="154">
        <v>23.5</v>
      </c>
      <c r="C69" s="154">
        <f t="shared" si="320"/>
        <v>23.5</v>
      </c>
      <c r="D69" s="154">
        <v>18615.2</v>
      </c>
      <c r="E69" s="200">
        <f t="shared" si="332"/>
        <v>454.0292682926729</v>
      </c>
      <c r="F69" s="181">
        <f t="shared" si="333"/>
        <v>0</v>
      </c>
      <c r="G69" s="161">
        <f t="shared" si="334"/>
        <v>41.000000000000909</v>
      </c>
      <c r="H69" s="154">
        <f t="shared" si="55"/>
        <v>0</v>
      </c>
      <c r="I69" s="161">
        <f t="shared" si="56"/>
        <v>0</v>
      </c>
      <c r="J69" s="181">
        <f t="shared" si="57"/>
        <v>23.5</v>
      </c>
      <c r="K69" s="181">
        <f t="shared" si="58"/>
        <v>23.5</v>
      </c>
      <c r="L69" s="181">
        <f t="shared" si="59"/>
        <v>23.5</v>
      </c>
      <c r="M69" s="181">
        <f t="shared" si="60"/>
        <v>23.5</v>
      </c>
      <c r="N69" s="181">
        <f t="shared" si="61"/>
        <v>23.5</v>
      </c>
      <c r="O69" s="181">
        <f t="shared" si="62"/>
        <v>23.5</v>
      </c>
      <c r="P69" s="181">
        <f t="shared" si="63"/>
        <v>23.5</v>
      </c>
      <c r="Q69" s="181">
        <f t="shared" si="64"/>
        <v>23.5</v>
      </c>
      <c r="R69" s="168">
        <f t="shared" si="65"/>
        <v>0</v>
      </c>
      <c r="S69" s="161">
        <f t="shared" si="66"/>
        <v>26.467465753425245</v>
      </c>
      <c r="T69" s="161">
        <f t="shared" si="67"/>
        <v>33.65012492461446</v>
      </c>
      <c r="U69" s="161">
        <f t="shared" si="68"/>
        <v>33.65012492461446</v>
      </c>
      <c r="V69" s="154">
        <f t="shared" si="69"/>
        <v>0</v>
      </c>
      <c r="W69" s="154">
        <f t="shared" si="70"/>
        <v>0.64554794520547942</v>
      </c>
      <c r="X69" s="154">
        <f t="shared" si="71"/>
        <v>0.64554794520547942</v>
      </c>
      <c r="Y69" s="154">
        <f t="shared" si="72"/>
        <v>0.64554794520547942</v>
      </c>
      <c r="Z69" s="154">
        <f t="shared" si="321"/>
        <v>0</v>
      </c>
      <c r="AA69" s="154">
        <f t="shared" si="322"/>
        <v>1E-53</v>
      </c>
      <c r="AB69" s="154">
        <f t="shared" si="323"/>
        <v>0.64554794520547942</v>
      </c>
      <c r="AC69" s="154">
        <f t="shared" si="324"/>
        <v>0.64554794520547942</v>
      </c>
      <c r="AD69" s="154">
        <f t="shared" si="325"/>
        <v>0</v>
      </c>
      <c r="AE69" s="154">
        <f t="shared" si="326"/>
        <v>0</v>
      </c>
      <c r="AF69" s="154">
        <f t="shared" si="327"/>
        <v>0</v>
      </c>
      <c r="AG69" s="154">
        <f t="shared" si="75"/>
        <v>0</v>
      </c>
      <c r="AH69" s="154">
        <f t="shared" si="76"/>
        <v>0</v>
      </c>
      <c r="AI69" s="154">
        <f t="shared" si="77"/>
        <v>0.58732876712328763</v>
      </c>
      <c r="AJ69" s="154">
        <f t="shared" si="78"/>
        <v>5.8219178082191785E-2</v>
      </c>
      <c r="AK69" s="154">
        <f t="shared" si="79"/>
        <v>0</v>
      </c>
      <c r="AL69" s="161">
        <f t="shared" si="80"/>
        <v>587.32876712328766</v>
      </c>
      <c r="AM69" s="161">
        <f t="shared" si="81"/>
        <v>58.219178082191782</v>
      </c>
      <c r="AN69" s="161">
        <f t="shared" si="82"/>
        <v>0</v>
      </c>
      <c r="AO69" s="161"/>
      <c r="AP69" s="154">
        <f t="shared" si="83"/>
        <v>0.64554794520547942</v>
      </c>
      <c r="AQ69" s="154">
        <f t="shared" si="84"/>
        <v>0.64554794520547942</v>
      </c>
      <c r="AR69" s="154">
        <f t="shared" si="85"/>
        <v>0</v>
      </c>
      <c r="AS69" s="161"/>
      <c r="AT69" s="161"/>
      <c r="AU69" s="161"/>
      <c r="AV69" s="161"/>
      <c r="AW69" s="181"/>
      <c r="AX69" s="181"/>
      <c r="AY69" s="181"/>
      <c r="AZ69" s="181"/>
      <c r="BA69" s="181"/>
      <c r="BB69" s="161"/>
      <c r="BC69" s="161"/>
      <c r="BD69" s="161"/>
      <c r="BE69" s="181"/>
      <c r="BF69" s="168"/>
      <c r="BG69" s="181"/>
      <c r="BH69" s="168"/>
      <c r="BI69" s="168"/>
      <c r="BJ69" s="161"/>
      <c r="BK69" s="168"/>
      <c r="BL69" s="168"/>
      <c r="BM69" s="168"/>
      <c r="BN69" s="168"/>
      <c r="BO69" s="168">
        <f t="shared" si="335"/>
        <v>24.080479452055329</v>
      </c>
      <c r="BP69" s="168">
        <f t="shared" si="336"/>
        <v>2.386986301369916</v>
      </c>
      <c r="BQ69" s="168">
        <f t="shared" si="337"/>
        <v>0</v>
      </c>
      <c r="BR69" s="181"/>
      <c r="BS69" s="161"/>
      <c r="BT69" s="168"/>
      <c r="BU69" s="161"/>
      <c r="BV69" s="161"/>
      <c r="BW69" s="161"/>
      <c r="BX69" s="161"/>
      <c r="CB69" s="181">
        <f t="shared" si="453"/>
        <v>416.34551972793167</v>
      </c>
      <c r="CC69" s="181">
        <f t="shared" si="453"/>
        <v>0</v>
      </c>
      <c r="CD69" s="181">
        <f t="shared" si="453"/>
        <v>486.62986309283303</v>
      </c>
      <c r="CE69" s="181">
        <f t="shared" si="453"/>
        <v>0</v>
      </c>
      <c r="CF69" s="181">
        <f t="shared" si="453"/>
        <v>1618.7402716202519</v>
      </c>
      <c r="CG69" s="181">
        <f t="shared" si="453"/>
        <v>0</v>
      </c>
      <c r="CH69" s="181">
        <f t="shared" si="453"/>
        <v>487.26598056092826</v>
      </c>
      <c r="CI69" s="181">
        <f t="shared" si="453"/>
        <v>0</v>
      </c>
      <c r="CJ69" s="182">
        <f t="shared" si="338"/>
        <v>3008.9816350019446</v>
      </c>
      <c r="CK69" s="161">
        <f t="shared" si="339"/>
        <v>3008.9816350019446</v>
      </c>
      <c r="CL69" s="161">
        <f t="shared" si="243"/>
        <v>529.19999999999993</v>
      </c>
      <c r="CM69" s="182">
        <f t="shared" si="340"/>
        <v>3538.1816350019444</v>
      </c>
      <c r="CN69" s="157">
        <f t="shared" si="341"/>
        <v>123.36824703508246</v>
      </c>
      <c r="CO69" s="162">
        <f t="shared" si="342"/>
        <v>3538.1816350019444</v>
      </c>
      <c r="FT69" s="168">
        <f t="shared" si="244"/>
        <v>2.5</v>
      </c>
      <c r="FU69" s="161">
        <f t="shared" si="245"/>
        <v>350</v>
      </c>
      <c r="FV69" s="161">
        <f t="shared" si="343"/>
        <v>525</v>
      </c>
      <c r="FW69" s="161">
        <f t="shared" si="344"/>
        <v>875</v>
      </c>
      <c r="FX69" s="161">
        <v>310.00000000000102</v>
      </c>
      <c r="FY69" s="168">
        <f t="shared" si="345"/>
        <v>2.5</v>
      </c>
      <c r="FZ69" s="161">
        <v>3.499999999999992E-9</v>
      </c>
      <c r="GA69" s="161">
        <v>5.2499999999999883E-9</v>
      </c>
      <c r="GB69" s="161">
        <v>8.7499999999999807E-9</v>
      </c>
      <c r="GC69" s="168">
        <f t="shared" si="246"/>
        <v>0.56785714285714284</v>
      </c>
      <c r="GD69" s="154">
        <f t="shared" si="97"/>
        <v>23.5</v>
      </c>
      <c r="GE69" s="181">
        <f t="shared" si="346"/>
        <v>23.5</v>
      </c>
      <c r="GF69" s="181">
        <f t="shared" si="347"/>
        <v>23.5</v>
      </c>
      <c r="GG69" s="154">
        <f t="shared" si="99"/>
        <v>23.5</v>
      </c>
      <c r="GH69" s="181">
        <f t="shared" si="348"/>
        <v>23.5</v>
      </c>
      <c r="GI69" s="181">
        <f t="shared" si="349"/>
        <v>23.500000000137579</v>
      </c>
      <c r="GJ69" s="181">
        <f t="shared" si="102"/>
        <v>23.500000000137579</v>
      </c>
      <c r="GK69" s="181">
        <f t="shared" si="103"/>
        <v>23.5</v>
      </c>
      <c r="GL69" s="157">
        <f t="shared" si="350"/>
        <v>0</v>
      </c>
      <c r="GM69" s="157">
        <f t="shared" si="105"/>
        <v>0</v>
      </c>
      <c r="GN69" s="157">
        <f t="shared" si="106"/>
        <v>0</v>
      </c>
      <c r="GO69" s="157">
        <f t="shared" si="107"/>
        <v>0</v>
      </c>
      <c r="GP69" s="157">
        <f t="shared" si="108"/>
        <v>0</v>
      </c>
      <c r="GQ69" s="157">
        <f t="shared" si="109"/>
        <v>3538.1816350019444</v>
      </c>
      <c r="GR69" s="157">
        <f t="shared" si="351"/>
        <v>0</v>
      </c>
      <c r="GS69" s="200">
        <f t="shared" si="352"/>
        <v>2.8263105265918617E-54</v>
      </c>
      <c r="GT69" s="157">
        <f t="shared" si="353"/>
        <v>1E-50</v>
      </c>
      <c r="GU69" s="157">
        <f t="shared" si="354"/>
        <v>645.54794520547944</v>
      </c>
      <c r="GV69" s="162">
        <f t="shared" si="114"/>
        <v>645.54794520547944</v>
      </c>
      <c r="GW69" s="157">
        <f t="shared" si="355"/>
        <v>645.54794520547944</v>
      </c>
      <c r="GX69" s="157">
        <f t="shared" si="247"/>
        <v>0</v>
      </c>
      <c r="GY69" s="207">
        <f t="shared" si="356"/>
        <v>258.21917808219177</v>
      </c>
      <c r="GZ69" s="207">
        <f t="shared" si="116"/>
        <v>0</v>
      </c>
      <c r="HA69" s="157">
        <f t="shared" si="117"/>
        <v>3.499999999999991E-10</v>
      </c>
      <c r="HB69" s="157">
        <f t="shared" si="357"/>
        <v>5.249999999999987E-10</v>
      </c>
      <c r="HC69" s="157">
        <f t="shared" si="358"/>
        <v>8.749999999999977E-10</v>
      </c>
      <c r="HD69" s="168">
        <f t="shared" si="359"/>
        <v>1.0850000000000008E-10</v>
      </c>
      <c r="HE69" s="168">
        <f t="shared" si="360"/>
        <v>1.6275000000000014E-10</v>
      </c>
      <c r="HF69" s="168">
        <f t="shared" si="361"/>
        <v>2.7125000000000017E-10</v>
      </c>
      <c r="HG69" s="157">
        <f t="shared" si="119"/>
        <v>645.54794520460439</v>
      </c>
      <c r="HH69" s="168">
        <f t="shared" si="362"/>
        <v>0</v>
      </c>
      <c r="HI69" s="168">
        <f t="shared" si="363"/>
        <v>3.1000000000000104E-51</v>
      </c>
      <c r="HJ69" s="168">
        <f t="shared" si="364"/>
        <v>200.11986301369927</v>
      </c>
      <c r="HK69" s="168">
        <f t="shared" si="123"/>
        <v>200.11986301342802</v>
      </c>
      <c r="HL69" s="168">
        <f t="shared" si="124"/>
        <v>200.11986301369927</v>
      </c>
      <c r="HM69" s="157">
        <f t="shared" si="125"/>
        <v>8.7500140466545417E-9</v>
      </c>
      <c r="HN69" s="168">
        <f t="shared" si="365"/>
        <v>1.6275000000000014E-10</v>
      </c>
      <c r="HP69" s="168">
        <f t="shared" si="366"/>
        <v>0</v>
      </c>
      <c r="HQ69" s="168">
        <f t="shared" si="367"/>
        <v>0</v>
      </c>
      <c r="HR69" s="181"/>
      <c r="HU69" s="168">
        <f t="shared" ref="HU69:HV69" si="514">HU68</f>
        <v>2.5</v>
      </c>
      <c r="HV69" s="161">
        <f t="shared" si="514"/>
        <v>350</v>
      </c>
      <c r="HW69" s="161">
        <f t="shared" si="369"/>
        <v>525</v>
      </c>
      <c r="HX69" s="161">
        <f t="shared" si="370"/>
        <v>875</v>
      </c>
      <c r="HY69" s="161">
        <v>310.00000000000102</v>
      </c>
      <c r="HZ69" s="168">
        <f t="shared" si="371"/>
        <v>2.5</v>
      </c>
      <c r="IA69" s="161">
        <v>0</v>
      </c>
      <c r="IB69" s="161">
        <v>0</v>
      </c>
      <c r="IC69" s="161">
        <v>0</v>
      </c>
      <c r="ID69" s="168">
        <f t="shared" ref="ID69" si="515">ID68</f>
        <v>0.56785714285714284</v>
      </c>
      <c r="IE69" s="154">
        <f t="shared" si="130"/>
        <v>23.5</v>
      </c>
      <c r="IF69" s="154">
        <f t="shared" si="131"/>
        <v>23.5</v>
      </c>
      <c r="IG69" s="181">
        <f t="shared" si="373"/>
        <v>23.5</v>
      </c>
      <c r="IH69" s="181">
        <f t="shared" si="374"/>
        <v>23.5</v>
      </c>
      <c r="II69" s="181">
        <f t="shared" si="375"/>
        <v>23.5</v>
      </c>
      <c r="IJ69" s="181">
        <f t="shared" si="376"/>
        <v>23.5</v>
      </c>
      <c r="IK69" s="181">
        <f t="shared" si="377"/>
        <v>23.5</v>
      </c>
      <c r="IL69" s="181">
        <f t="shared" si="250"/>
        <v>0</v>
      </c>
      <c r="IM69" s="181">
        <f t="shared" si="137"/>
        <v>23.5</v>
      </c>
      <c r="IN69" s="157">
        <f t="shared" si="378"/>
        <v>0</v>
      </c>
      <c r="IO69" s="157">
        <f t="shared" si="139"/>
        <v>0</v>
      </c>
      <c r="IP69" s="157">
        <f t="shared" si="42"/>
        <v>0</v>
      </c>
      <c r="IQ69" s="157">
        <f t="shared" si="43"/>
        <v>0</v>
      </c>
      <c r="IR69" s="157">
        <f t="shared" si="140"/>
        <v>0</v>
      </c>
      <c r="IS69" s="157">
        <f t="shared" si="141"/>
        <v>3538.1816350019444</v>
      </c>
      <c r="IT69" s="157">
        <f t="shared" si="379"/>
        <v>0</v>
      </c>
      <c r="IU69" s="200">
        <f t="shared" si="380"/>
        <v>2.8263105265918617E-54</v>
      </c>
      <c r="IV69" s="157">
        <f t="shared" si="381"/>
        <v>1E-50</v>
      </c>
      <c r="IW69" s="157">
        <f t="shared" si="382"/>
        <v>645.54794520547944</v>
      </c>
      <c r="IX69" s="162">
        <f t="shared" si="146"/>
        <v>645.54794520547944</v>
      </c>
      <c r="IY69" s="157">
        <f t="shared" si="22"/>
        <v>645.54794520547944</v>
      </c>
      <c r="IZ69" s="157">
        <f t="shared" si="147"/>
        <v>0</v>
      </c>
      <c r="JA69" s="207">
        <f t="shared" si="383"/>
        <v>258.21917808219177</v>
      </c>
      <c r="JB69" s="207">
        <f t="shared" si="149"/>
        <v>0</v>
      </c>
      <c r="JC69" s="157">
        <f t="shared" si="150"/>
        <v>0</v>
      </c>
      <c r="JD69" s="157">
        <f t="shared" si="384"/>
        <v>0</v>
      </c>
      <c r="JE69" s="157">
        <f t="shared" si="385"/>
        <v>0</v>
      </c>
      <c r="JF69" s="168">
        <f t="shared" si="386"/>
        <v>0</v>
      </c>
      <c r="JG69" s="168">
        <f t="shared" si="387"/>
        <v>0</v>
      </c>
      <c r="JH69" s="168">
        <f t="shared" si="388"/>
        <v>0</v>
      </c>
      <c r="JI69" s="157">
        <f t="shared" si="156"/>
        <v>645.54794520547944</v>
      </c>
      <c r="JJ69" s="168">
        <f t="shared" si="389"/>
        <v>0</v>
      </c>
      <c r="JK69" s="168">
        <f t="shared" si="390"/>
        <v>3.1000000000000104E-51</v>
      </c>
      <c r="JL69" s="168">
        <f t="shared" si="391"/>
        <v>200.11986301369927</v>
      </c>
      <c r="JM69" s="168">
        <f t="shared" si="160"/>
        <v>200.11986301369927</v>
      </c>
      <c r="JN69" s="168">
        <f t="shared" si="161"/>
        <v>200.11986301369927</v>
      </c>
      <c r="JO69" s="157">
        <f t="shared" si="162"/>
        <v>0</v>
      </c>
      <c r="JP69" s="168">
        <f t="shared" si="392"/>
        <v>0</v>
      </c>
      <c r="JR69" s="168">
        <f t="shared" si="393"/>
        <v>0</v>
      </c>
      <c r="JS69" s="168">
        <f t="shared" si="394"/>
        <v>0</v>
      </c>
      <c r="JT69" s="181"/>
      <c r="JW69" s="168">
        <f t="shared" ref="JW69:JX69" si="516">JW68</f>
        <v>2.5</v>
      </c>
      <c r="JX69" s="161">
        <f t="shared" si="516"/>
        <v>350</v>
      </c>
      <c r="JY69" s="161">
        <f t="shared" si="396"/>
        <v>525</v>
      </c>
      <c r="JZ69" s="161">
        <f t="shared" si="397"/>
        <v>875</v>
      </c>
      <c r="KA69" s="161">
        <v>310.00000000000102</v>
      </c>
      <c r="KB69" s="168">
        <f t="shared" si="398"/>
        <v>2.5</v>
      </c>
      <c r="KC69" s="161">
        <v>0</v>
      </c>
      <c r="KD69" s="161">
        <v>0</v>
      </c>
      <c r="KE69" s="161">
        <v>0</v>
      </c>
      <c r="KF69" s="168">
        <f t="shared" ref="KF69" si="517">KF68</f>
        <v>0.56785714285714284</v>
      </c>
      <c r="KG69" s="154">
        <f t="shared" si="167"/>
        <v>23.5</v>
      </c>
      <c r="KH69" s="154">
        <f t="shared" si="168"/>
        <v>23.5</v>
      </c>
      <c r="KI69" s="181">
        <f t="shared" si="400"/>
        <v>23.5</v>
      </c>
      <c r="KJ69" s="181">
        <f t="shared" si="401"/>
        <v>23.5</v>
      </c>
      <c r="KK69" s="181">
        <f t="shared" si="402"/>
        <v>23.5</v>
      </c>
      <c r="KL69" s="181">
        <f t="shared" si="403"/>
        <v>23.5</v>
      </c>
      <c r="KM69" s="181">
        <f t="shared" si="404"/>
        <v>23.5</v>
      </c>
      <c r="KN69" s="181">
        <f t="shared" si="253"/>
        <v>0</v>
      </c>
      <c r="KO69" s="181">
        <f t="shared" si="174"/>
        <v>23.5</v>
      </c>
      <c r="KP69" s="157">
        <f t="shared" si="405"/>
        <v>0</v>
      </c>
      <c r="KQ69" s="157">
        <f t="shared" si="46"/>
        <v>0</v>
      </c>
      <c r="KR69" s="157">
        <f t="shared" si="406"/>
        <v>0</v>
      </c>
      <c r="KS69" s="157">
        <f t="shared" si="407"/>
        <v>0</v>
      </c>
      <c r="KT69" s="157">
        <f t="shared" si="178"/>
        <v>0</v>
      </c>
      <c r="KU69" s="157">
        <f t="shared" si="179"/>
        <v>3538.1816350019444</v>
      </c>
      <c r="KV69" s="157">
        <f t="shared" si="408"/>
        <v>0</v>
      </c>
      <c r="KW69" s="200">
        <f t="shared" si="409"/>
        <v>2.8263105265918617E-54</v>
      </c>
      <c r="KX69" s="157">
        <f t="shared" si="410"/>
        <v>1E-50</v>
      </c>
      <c r="KY69" s="157">
        <f t="shared" si="411"/>
        <v>645.54794520547944</v>
      </c>
      <c r="KZ69" s="162">
        <f t="shared" si="47"/>
        <v>645.54794520547944</v>
      </c>
      <c r="LA69" s="157">
        <f t="shared" si="184"/>
        <v>645.54794520547944</v>
      </c>
      <c r="LB69" s="157">
        <f t="shared" si="185"/>
        <v>0</v>
      </c>
      <c r="LC69" s="207">
        <f t="shared" si="412"/>
        <v>258.21917808219177</v>
      </c>
      <c r="LD69" s="207">
        <f t="shared" si="187"/>
        <v>0</v>
      </c>
      <c r="LE69" s="157">
        <f t="shared" si="188"/>
        <v>0</v>
      </c>
      <c r="LF69" s="157">
        <f t="shared" si="413"/>
        <v>0</v>
      </c>
      <c r="LG69" s="157">
        <f t="shared" si="414"/>
        <v>0</v>
      </c>
      <c r="LH69" s="168">
        <f t="shared" si="415"/>
        <v>0</v>
      </c>
      <c r="LI69" s="168">
        <f t="shared" si="416"/>
        <v>0</v>
      </c>
      <c r="LJ69" s="168">
        <f t="shared" si="417"/>
        <v>0</v>
      </c>
      <c r="LK69" s="157">
        <f t="shared" si="194"/>
        <v>645.54794520547944</v>
      </c>
      <c r="LL69" s="168">
        <f t="shared" si="418"/>
        <v>0</v>
      </c>
      <c r="LM69" s="168">
        <f t="shared" si="419"/>
        <v>3.1000000000000104E-51</v>
      </c>
      <c r="LN69" s="168">
        <f t="shared" si="420"/>
        <v>200.11986301369927</v>
      </c>
      <c r="LO69" s="168">
        <f t="shared" si="198"/>
        <v>200.11986301369927</v>
      </c>
      <c r="LP69" s="168">
        <f t="shared" si="199"/>
        <v>200.11986301369927</v>
      </c>
      <c r="LQ69" s="157">
        <f t="shared" si="200"/>
        <v>0</v>
      </c>
      <c r="LR69" s="168">
        <f t="shared" si="421"/>
        <v>0</v>
      </c>
      <c r="LT69" s="168">
        <f t="shared" si="422"/>
        <v>0</v>
      </c>
      <c r="LU69" s="168">
        <f t="shared" si="423"/>
        <v>0</v>
      </c>
      <c r="LV69" s="181"/>
      <c r="LY69" s="168">
        <f t="shared" ref="LY69:LZ69" si="518">LY68</f>
        <v>2.5</v>
      </c>
      <c r="LZ69" s="161">
        <f t="shared" si="518"/>
        <v>350</v>
      </c>
      <c r="MA69" s="161">
        <f t="shared" si="425"/>
        <v>525</v>
      </c>
      <c r="MB69" s="161">
        <f t="shared" si="426"/>
        <v>875</v>
      </c>
      <c r="MC69" s="161">
        <v>310.00000000000102</v>
      </c>
      <c r="MD69" s="168">
        <f t="shared" si="427"/>
        <v>2.5</v>
      </c>
      <c r="ME69" s="161">
        <v>0</v>
      </c>
      <c r="MF69" s="161">
        <v>0</v>
      </c>
      <c r="MG69" s="161">
        <v>0</v>
      </c>
      <c r="MH69" s="168">
        <f t="shared" ref="MH69" si="519">MH68</f>
        <v>0.56785714285714284</v>
      </c>
      <c r="MI69" s="154">
        <f t="shared" si="205"/>
        <v>23.5</v>
      </c>
      <c r="MJ69" s="181">
        <f t="shared" si="429"/>
        <v>23.5</v>
      </c>
      <c r="MK69" s="181">
        <f t="shared" si="430"/>
        <v>23.5</v>
      </c>
      <c r="ML69" s="154">
        <f t="shared" si="208"/>
        <v>23.5</v>
      </c>
      <c r="MM69" s="181">
        <f t="shared" si="431"/>
        <v>23.5</v>
      </c>
      <c r="MN69" s="181">
        <f t="shared" si="432"/>
        <v>23.5</v>
      </c>
      <c r="MO69" s="181">
        <f t="shared" si="433"/>
        <v>23.5</v>
      </c>
      <c r="MP69" s="181">
        <f t="shared" si="212"/>
        <v>23.5</v>
      </c>
      <c r="MQ69" s="157">
        <f t="shared" si="434"/>
        <v>0</v>
      </c>
      <c r="MR69" s="157">
        <f t="shared" si="213"/>
        <v>0</v>
      </c>
      <c r="MS69" s="157">
        <f t="shared" si="435"/>
        <v>0</v>
      </c>
      <c r="MT69" s="157">
        <f t="shared" si="436"/>
        <v>0</v>
      </c>
      <c r="MU69" s="157">
        <f t="shared" si="216"/>
        <v>0</v>
      </c>
      <c r="MV69" s="157">
        <f t="shared" si="217"/>
        <v>3538.1816350019444</v>
      </c>
      <c r="MW69" s="157">
        <f t="shared" si="437"/>
        <v>0</v>
      </c>
      <c r="MX69" s="200">
        <f t="shared" si="438"/>
        <v>2.8263105265918617E-54</v>
      </c>
      <c r="MY69" s="157">
        <f t="shared" si="439"/>
        <v>1E-50</v>
      </c>
      <c r="MZ69" s="157">
        <f t="shared" si="440"/>
        <v>645.54794520547944</v>
      </c>
      <c r="NA69" s="162">
        <f t="shared" si="222"/>
        <v>645.54794520547944</v>
      </c>
      <c r="NB69" s="157">
        <f t="shared" si="223"/>
        <v>645.54794520547944</v>
      </c>
      <c r="NC69" s="157">
        <f t="shared" si="224"/>
        <v>0</v>
      </c>
      <c r="ND69" s="207">
        <f t="shared" si="441"/>
        <v>258.21917808219177</v>
      </c>
      <c r="NE69" s="207">
        <f t="shared" si="225"/>
        <v>0</v>
      </c>
      <c r="NF69" s="157">
        <f t="shared" si="226"/>
        <v>0</v>
      </c>
      <c r="NG69" s="157">
        <f t="shared" si="442"/>
        <v>0</v>
      </c>
      <c r="NH69" s="157">
        <f t="shared" si="443"/>
        <v>0</v>
      </c>
      <c r="NI69" s="168">
        <f t="shared" si="444"/>
        <v>0</v>
      </c>
      <c r="NJ69" s="168">
        <f t="shared" si="445"/>
        <v>0</v>
      </c>
      <c r="NK69" s="168">
        <f t="shared" si="446"/>
        <v>0</v>
      </c>
      <c r="NL69" s="157">
        <f t="shared" si="230"/>
        <v>645.54794520547944</v>
      </c>
      <c r="NM69" s="168">
        <f t="shared" si="447"/>
        <v>0</v>
      </c>
      <c r="NN69" s="168">
        <f t="shared" si="448"/>
        <v>3.1000000000000104E-51</v>
      </c>
      <c r="NO69" s="168">
        <f t="shared" si="449"/>
        <v>200.11986301369927</v>
      </c>
      <c r="NP69" s="168">
        <f t="shared" si="234"/>
        <v>200.11986301369927</v>
      </c>
      <c r="NQ69" s="168">
        <f t="shared" si="235"/>
        <v>200.11986301369927</v>
      </c>
      <c r="NR69" s="157">
        <f t="shared" si="236"/>
        <v>0</v>
      </c>
      <c r="NS69" s="168">
        <f t="shared" si="450"/>
        <v>0</v>
      </c>
      <c r="NT69" s="157">
        <f t="shared" si="319"/>
        <v>645.54794520547944</v>
      </c>
      <c r="NU69" s="168">
        <f t="shared" si="451"/>
        <v>0</v>
      </c>
      <c r="NV69" s="168">
        <f t="shared" si="452"/>
        <v>0</v>
      </c>
      <c r="NX69" s="157"/>
      <c r="NY69" s="157"/>
      <c r="NZ69" s="157"/>
      <c r="OA69" s="157"/>
      <c r="OB69" s="157"/>
    </row>
    <row r="70" spans="1:392" ht="13" x14ac:dyDescent="0.3">
      <c r="A70" s="154">
        <v>99.497716894977174</v>
      </c>
      <c r="B70" s="154">
        <v>24.5</v>
      </c>
      <c r="C70" s="154">
        <f t="shared" si="320"/>
        <v>24.5</v>
      </c>
      <c r="D70" s="154">
        <v>15177.800000000001</v>
      </c>
      <c r="E70" s="200">
        <f t="shared" si="332"/>
        <v>523.37241379310331</v>
      </c>
      <c r="F70" s="181">
        <f t="shared" si="333"/>
        <v>0</v>
      </c>
      <c r="G70" s="161">
        <f t="shared" si="334"/>
        <v>29.000000000000007</v>
      </c>
      <c r="H70" s="154">
        <f t="shared" si="55"/>
        <v>0</v>
      </c>
      <c r="I70" s="161">
        <f t="shared" si="56"/>
        <v>0</v>
      </c>
      <c r="J70" s="181">
        <f t="shared" si="57"/>
        <v>24.5</v>
      </c>
      <c r="K70" s="181">
        <f t="shared" si="58"/>
        <v>24.5</v>
      </c>
      <c r="L70" s="181">
        <f t="shared" si="59"/>
        <v>24.5</v>
      </c>
      <c r="M70" s="181">
        <f t="shared" si="60"/>
        <v>24.5</v>
      </c>
      <c r="N70" s="181">
        <f t="shared" si="61"/>
        <v>24.5</v>
      </c>
      <c r="O70" s="181">
        <f t="shared" si="62"/>
        <v>24.5</v>
      </c>
      <c r="P70" s="181">
        <f t="shared" si="63"/>
        <v>24.5</v>
      </c>
      <c r="Q70" s="181">
        <f t="shared" si="64"/>
        <v>24.5</v>
      </c>
      <c r="R70" s="168">
        <f t="shared" si="65"/>
        <v>0</v>
      </c>
      <c r="S70" s="161">
        <f t="shared" si="66"/>
        <v>18.720890410958908</v>
      </c>
      <c r="T70" s="161">
        <f t="shared" si="67"/>
        <v>34.65012492461446</v>
      </c>
      <c r="U70" s="161">
        <f t="shared" si="68"/>
        <v>34.65012492461446</v>
      </c>
      <c r="V70" s="154">
        <f t="shared" si="69"/>
        <v>0</v>
      </c>
      <c r="W70" s="154">
        <f t="shared" si="70"/>
        <v>0.64554794520547942</v>
      </c>
      <c r="X70" s="154">
        <f t="shared" si="71"/>
        <v>0.64554794520547942</v>
      </c>
      <c r="Y70" s="154">
        <f t="shared" si="72"/>
        <v>0.64554794520547942</v>
      </c>
      <c r="Z70" s="154">
        <f t="shared" si="321"/>
        <v>0</v>
      </c>
      <c r="AA70" s="154">
        <f t="shared" si="322"/>
        <v>1E-53</v>
      </c>
      <c r="AB70" s="154">
        <f t="shared" si="323"/>
        <v>0.64554794520547942</v>
      </c>
      <c r="AC70" s="154">
        <f t="shared" si="324"/>
        <v>0.64554794520547942</v>
      </c>
      <c r="AD70" s="154">
        <f t="shared" si="325"/>
        <v>0</v>
      </c>
      <c r="AE70" s="154">
        <f t="shared" si="326"/>
        <v>0</v>
      </c>
      <c r="AF70" s="154">
        <f t="shared" si="327"/>
        <v>0</v>
      </c>
      <c r="AG70" s="154">
        <f t="shared" si="75"/>
        <v>0</v>
      </c>
      <c r="AH70" s="154">
        <f t="shared" si="76"/>
        <v>0</v>
      </c>
      <c r="AI70" s="154">
        <f t="shared" si="77"/>
        <v>0.58732876712328763</v>
      </c>
      <c r="AJ70" s="154">
        <f t="shared" si="78"/>
        <v>5.8219178082191785E-2</v>
      </c>
      <c r="AK70" s="154">
        <f t="shared" si="79"/>
        <v>0</v>
      </c>
      <c r="AL70" s="161">
        <f t="shared" si="80"/>
        <v>587.32876712328766</v>
      </c>
      <c r="AM70" s="161">
        <f t="shared" si="81"/>
        <v>58.219178082191782</v>
      </c>
      <c r="AN70" s="161">
        <f t="shared" si="82"/>
        <v>0</v>
      </c>
      <c r="AO70" s="161"/>
      <c r="AP70" s="154">
        <f t="shared" si="83"/>
        <v>0.64554794520547942</v>
      </c>
      <c r="AQ70" s="154">
        <f t="shared" si="84"/>
        <v>0.64554794520547942</v>
      </c>
      <c r="AR70" s="154">
        <f t="shared" si="85"/>
        <v>0</v>
      </c>
      <c r="AS70" s="161"/>
      <c r="AT70" s="161"/>
      <c r="AU70" s="161"/>
      <c r="AV70" s="161"/>
      <c r="AW70" s="181"/>
      <c r="AX70" s="181"/>
      <c r="AY70" s="181"/>
      <c r="AZ70" s="181"/>
      <c r="BA70" s="181"/>
      <c r="BB70" s="161"/>
      <c r="BC70" s="161"/>
      <c r="BD70" s="161"/>
      <c r="BE70" s="181"/>
      <c r="BF70" s="168"/>
      <c r="BG70" s="181"/>
      <c r="BH70" s="168"/>
      <c r="BI70" s="168"/>
      <c r="BJ70" s="161"/>
      <c r="BK70" s="168"/>
      <c r="BL70" s="168"/>
      <c r="BM70" s="168"/>
      <c r="BN70" s="168"/>
      <c r="BO70" s="168">
        <f t="shared" si="335"/>
        <v>17.032534246575345</v>
      </c>
      <c r="BP70" s="168">
        <f t="shared" si="336"/>
        <v>1.6883561643835621</v>
      </c>
      <c r="BQ70" s="168">
        <f t="shared" si="337"/>
        <v>0</v>
      </c>
      <c r="BR70" s="181"/>
      <c r="BS70" s="161"/>
      <c r="BT70" s="168"/>
      <c r="BU70" s="161"/>
      <c r="BV70" s="161"/>
      <c r="BW70" s="161"/>
      <c r="BX70" s="161"/>
      <c r="CB70" s="181">
        <f t="shared" si="453"/>
        <v>479.9332881145632</v>
      </c>
      <c r="CC70" s="181">
        <f t="shared" si="453"/>
        <v>0</v>
      </c>
      <c r="CD70" s="181">
        <f t="shared" si="453"/>
        <v>560.95204396939437</v>
      </c>
      <c r="CE70" s="181">
        <f t="shared" si="453"/>
        <v>0</v>
      </c>
      <c r="CF70" s="181">
        <f t="shared" si="453"/>
        <v>1865.9678184356094</v>
      </c>
      <c r="CG70" s="181">
        <f t="shared" si="453"/>
        <v>0</v>
      </c>
      <c r="CH70" s="181">
        <f t="shared" si="453"/>
        <v>561.68531461510611</v>
      </c>
      <c r="CI70" s="181">
        <f t="shared" si="453"/>
        <v>0</v>
      </c>
      <c r="CJ70" s="182">
        <f t="shared" si="338"/>
        <v>3468.5384651346731</v>
      </c>
      <c r="CK70" s="161">
        <f t="shared" si="339"/>
        <v>3468.5384651346735</v>
      </c>
      <c r="CL70" s="161">
        <f t="shared" si="243"/>
        <v>529.19999999999993</v>
      </c>
      <c r="CM70" s="182">
        <f t="shared" si="340"/>
        <v>3997.7384651346733</v>
      </c>
      <c r="CN70" s="157">
        <f t="shared" si="341"/>
        <v>100.58761548890554</v>
      </c>
      <c r="CO70" s="162">
        <f t="shared" si="342"/>
        <v>3997.7384651346733</v>
      </c>
      <c r="FT70" s="168">
        <f t="shared" si="244"/>
        <v>2.5</v>
      </c>
      <c r="FU70" s="161">
        <f t="shared" si="245"/>
        <v>350</v>
      </c>
      <c r="FV70" s="161">
        <f t="shared" si="343"/>
        <v>525</v>
      </c>
      <c r="FW70" s="161">
        <f t="shared" si="344"/>
        <v>875</v>
      </c>
      <c r="FX70" s="161">
        <v>311.00000000000102</v>
      </c>
      <c r="FY70" s="168">
        <f t="shared" si="345"/>
        <v>2.5</v>
      </c>
      <c r="FZ70" s="161">
        <v>3.499999999999992E-9</v>
      </c>
      <c r="GA70" s="161">
        <v>5.2499999999999883E-9</v>
      </c>
      <c r="GB70" s="161">
        <v>8.7499999999999807E-9</v>
      </c>
      <c r="GC70" s="168">
        <f t="shared" si="246"/>
        <v>0.56785714285714284</v>
      </c>
      <c r="GD70" s="154">
        <f t="shared" si="97"/>
        <v>24.5</v>
      </c>
      <c r="GE70" s="181">
        <f t="shared" si="346"/>
        <v>24.5</v>
      </c>
      <c r="GF70" s="181">
        <f t="shared" si="347"/>
        <v>24.5</v>
      </c>
      <c r="GG70" s="154">
        <f t="shared" si="99"/>
        <v>24.5</v>
      </c>
      <c r="GH70" s="181">
        <f t="shared" si="348"/>
        <v>24.5</v>
      </c>
      <c r="GI70" s="181">
        <f t="shared" si="349"/>
        <v>24.500000000137579</v>
      </c>
      <c r="GJ70" s="181">
        <f t="shared" si="102"/>
        <v>24.500000000137579</v>
      </c>
      <c r="GK70" s="181">
        <f t="shared" si="103"/>
        <v>24.5</v>
      </c>
      <c r="GL70" s="157">
        <f t="shared" si="350"/>
        <v>0</v>
      </c>
      <c r="GM70" s="157">
        <f t="shared" si="105"/>
        <v>0</v>
      </c>
      <c r="GN70" s="157">
        <f t="shared" si="106"/>
        <v>0</v>
      </c>
      <c r="GO70" s="157">
        <f t="shared" si="107"/>
        <v>0</v>
      </c>
      <c r="GP70" s="157">
        <f t="shared" si="108"/>
        <v>0</v>
      </c>
      <c r="GQ70" s="157">
        <f t="shared" si="109"/>
        <v>3997.7384651346733</v>
      </c>
      <c r="GR70" s="157">
        <f t="shared" si="351"/>
        <v>0</v>
      </c>
      <c r="GS70" s="200">
        <f t="shared" si="352"/>
        <v>2.5014142588897761E-54</v>
      </c>
      <c r="GT70" s="157">
        <f t="shared" si="353"/>
        <v>1E-50</v>
      </c>
      <c r="GU70" s="157">
        <f t="shared" si="354"/>
        <v>645.54794520547944</v>
      </c>
      <c r="GV70" s="162">
        <f t="shared" si="114"/>
        <v>645.54794520547944</v>
      </c>
      <c r="GW70" s="157">
        <f t="shared" si="355"/>
        <v>645.54794520547944</v>
      </c>
      <c r="GX70" s="157">
        <f t="shared" si="247"/>
        <v>0</v>
      </c>
      <c r="GY70" s="207">
        <f t="shared" si="356"/>
        <v>258.21917808219177</v>
      </c>
      <c r="GZ70" s="207">
        <f t="shared" si="116"/>
        <v>0</v>
      </c>
      <c r="HA70" s="157">
        <f t="shared" si="117"/>
        <v>3.499999999999991E-10</v>
      </c>
      <c r="HB70" s="157">
        <f t="shared" si="357"/>
        <v>5.249999999999987E-10</v>
      </c>
      <c r="HC70" s="157">
        <f t="shared" si="358"/>
        <v>8.749999999999977E-10</v>
      </c>
      <c r="HD70" s="168">
        <f t="shared" si="359"/>
        <v>1.0885000000000008E-10</v>
      </c>
      <c r="HE70" s="168">
        <f t="shared" si="360"/>
        <v>1.6327500000000012E-10</v>
      </c>
      <c r="HF70" s="168">
        <f t="shared" si="361"/>
        <v>2.7212500000000018E-10</v>
      </c>
      <c r="HG70" s="157">
        <f t="shared" si="119"/>
        <v>645.54794520460439</v>
      </c>
      <c r="HH70" s="168">
        <f t="shared" si="362"/>
        <v>0</v>
      </c>
      <c r="HI70" s="168">
        <f t="shared" si="363"/>
        <v>3.1100000000000103E-51</v>
      </c>
      <c r="HJ70" s="168">
        <f t="shared" si="364"/>
        <v>200.76541095890477</v>
      </c>
      <c r="HK70" s="168">
        <f t="shared" si="123"/>
        <v>200.7654109586326</v>
      </c>
      <c r="HL70" s="168">
        <f t="shared" si="124"/>
        <v>200.76541095890477</v>
      </c>
      <c r="HM70" s="157">
        <f t="shared" si="125"/>
        <v>8.7500140466545417E-9</v>
      </c>
      <c r="HN70" s="168">
        <f t="shared" si="365"/>
        <v>1.6327500000000012E-10</v>
      </c>
      <c r="HP70" s="168">
        <f t="shared" si="366"/>
        <v>0</v>
      </c>
      <c r="HQ70" s="168">
        <f t="shared" si="367"/>
        <v>0</v>
      </c>
      <c r="HR70" s="181"/>
      <c r="HU70" s="168">
        <f t="shared" ref="HU70:HV70" si="520">HU69</f>
        <v>2.5</v>
      </c>
      <c r="HV70" s="161">
        <f t="shared" si="520"/>
        <v>350</v>
      </c>
      <c r="HW70" s="161">
        <f t="shared" si="369"/>
        <v>525</v>
      </c>
      <c r="HX70" s="161">
        <f t="shared" si="370"/>
        <v>875</v>
      </c>
      <c r="HY70" s="161">
        <v>311.00000000000102</v>
      </c>
      <c r="HZ70" s="168">
        <f t="shared" si="371"/>
        <v>2.5</v>
      </c>
      <c r="IA70" s="161">
        <v>0</v>
      </c>
      <c r="IB70" s="161">
        <v>0</v>
      </c>
      <c r="IC70" s="161">
        <v>0</v>
      </c>
      <c r="ID70" s="168">
        <f t="shared" ref="ID70" si="521">ID69</f>
        <v>0.56785714285714284</v>
      </c>
      <c r="IE70" s="154">
        <f t="shared" si="130"/>
        <v>24.5</v>
      </c>
      <c r="IF70" s="154">
        <f t="shared" si="131"/>
        <v>24.5</v>
      </c>
      <c r="IG70" s="181">
        <f t="shared" si="373"/>
        <v>24.5</v>
      </c>
      <c r="IH70" s="181">
        <f t="shared" si="374"/>
        <v>24.5</v>
      </c>
      <c r="II70" s="181">
        <f t="shared" si="375"/>
        <v>24.5</v>
      </c>
      <c r="IJ70" s="181">
        <f t="shared" si="376"/>
        <v>24.5</v>
      </c>
      <c r="IK70" s="181">
        <f t="shared" si="377"/>
        <v>24.5</v>
      </c>
      <c r="IL70" s="181">
        <f t="shared" si="250"/>
        <v>0</v>
      </c>
      <c r="IM70" s="181">
        <f t="shared" si="137"/>
        <v>24.5</v>
      </c>
      <c r="IN70" s="157">
        <f t="shared" si="378"/>
        <v>0</v>
      </c>
      <c r="IO70" s="157">
        <f t="shared" si="139"/>
        <v>0</v>
      </c>
      <c r="IP70" s="157">
        <f t="shared" si="42"/>
        <v>0</v>
      </c>
      <c r="IQ70" s="157">
        <f t="shared" si="43"/>
        <v>0</v>
      </c>
      <c r="IR70" s="157">
        <f t="shared" si="140"/>
        <v>0</v>
      </c>
      <c r="IS70" s="157">
        <f t="shared" si="141"/>
        <v>3997.7384651346733</v>
      </c>
      <c r="IT70" s="157">
        <f t="shared" si="379"/>
        <v>0</v>
      </c>
      <c r="IU70" s="200">
        <f t="shared" si="380"/>
        <v>2.5014142588897761E-54</v>
      </c>
      <c r="IV70" s="157">
        <f t="shared" si="381"/>
        <v>1E-50</v>
      </c>
      <c r="IW70" s="157">
        <f t="shared" si="382"/>
        <v>645.54794520547944</v>
      </c>
      <c r="IX70" s="162">
        <f t="shared" si="146"/>
        <v>645.54794520547944</v>
      </c>
      <c r="IY70" s="157">
        <f t="shared" si="22"/>
        <v>645.54794520547944</v>
      </c>
      <c r="IZ70" s="157">
        <f t="shared" si="147"/>
        <v>0</v>
      </c>
      <c r="JA70" s="207">
        <f t="shared" si="383"/>
        <v>258.21917808219177</v>
      </c>
      <c r="JB70" s="207">
        <f t="shared" si="149"/>
        <v>0</v>
      </c>
      <c r="JC70" s="157">
        <f t="shared" si="150"/>
        <v>0</v>
      </c>
      <c r="JD70" s="157">
        <f t="shared" si="384"/>
        <v>0</v>
      </c>
      <c r="JE70" s="157">
        <f t="shared" si="385"/>
        <v>0</v>
      </c>
      <c r="JF70" s="168">
        <f t="shared" si="386"/>
        <v>0</v>
      </c>
      <c r="JG70" s="168">
        <f t="shared" si="387"/>
        <v>0</v>
      </c>
      <c r="JH70" s="168">
        <f t="shared" si="388"/>
        <v>0</v>
      </c>
      <c r="JI70" s="157">
        <f t="shared" si="156"/>
        <v>645.54794520547944</v>
      </c>
      <c r="JJ70" s="168">
        <f t="shared" si="389"/>
        <v>0</v>
      </c>
      <c r="JK70" s="168">
        <f t="shared" si="390"/>
        <v>3.1100000000000103E-51</v>
      </c>
      <c r="JL70" s="168">
        <f t="shared" si="391"/>
        <v>200.76541095890477</v>
      </c>
      <c r="JM70" s="168">
        <f t="shared" si="160"/>
        <v>200.76541095890477</v>
      </c>
      <c r="JN70" s="168">
        <f t="shared" si="161"/>
        <v>200.76541095890477</v>
      </c>
      <c r="JO70" s="157">
        <f t="shared" si="162"/>
        <v>0</v>
      </c>
      <c r="JP70" s="168">
        <f t="shared" si="392"/>
        <v>0</v>
      </c>
      <c r="JR70" s="168">
        <f t="shared" si="393"/>
        <v>0</v>
      </c>
      <c r="JS70" s="168">
        <f t="shared" si="394"/>
        <v>0</v>
      </c>
      <c r="JT70" s="181"/>
      <c r="JW70" s="168">
        <f t="shared" ref="JW70:JX70" si="522">JW69</f>
        <v>2.5</v>
      </c>
      <c r="JX70" s="161">
        <f t="shared" si="522"/>
        <v>350</v>
      </c>
      <c r="JY70" s="161">
        <f t="shared" si="396"/>
        <v>525</v>
      </c>
      <c r="JZ70" s="161">
        <f t="shared" si="397"/>
        <v>875</v>
      </c>
      <c r="KA70" s="161">
        <v>311.00000000000102</v>
      </c>
      <c r="KB70" s="168">
        <f t="shared" si="398"/>
        <v>2.5</v>
      </c>
      <c r="KC70" s="161">
        <v>0</v>
      </c>
      <c r="KD70" s="161">
        <v>0</v>
      </c>
      <c r="KE70" s="161">
        <v>0</v>
      </c>
      <c r="KF70" s="168">
        <f t="shared" ref="KF70" si="523">KF69</f>
        <v>0.56785714285714284</v>
      </c>
      <c r="KG70" s="154">
        <f t="shared" si="167"/>
        <v>24.5</v>
      </c>
      <c r="KH70" s="154">
        <f t="shared" si="168"/>
        <v>24.5</v>
      </c>
      <c r="KI70" s="181">
        <f t="shared" si="400"/>
        <v>24.5</v>
      </c>
      <c r="KJ70" s="181">
        <f t="shared" si="401"/>
        <v>24.5</v>
      </c>
      <c r="KK70" s="181">
        <f t="shared" si="402"/>
        <v>24.5</v>
      </c>
      <c r="KL70" s="181">
        <f t="shared" si="403"/>
        <v>24.5</v>
      </c>
      <c r="KM70" s="181">
        <f t="shared" si="404"/>
        <v>24.5</v>
      </c>
      <c r="KN70" s="181">
        <f t="shared" si="253"/>
        <v>0</v>
      </c>
      <c r="KO70" s="181">
        <f t="shared" si="174"/>
        <v>24.5</v>
      </c>
      <c r="KP70" s="157">
        <f t="shared" si="405"/>
        <v>0</v>
      </c>
      <c r="KQ70" s="157">
        <f t="shared" si="46"/>
        <v>0</v>
      </c>
      <c r="KR70" s="157">
        <f t="shared" si="406"/>
        <v>0</v>
      </c>
      <c r="KS70" s="157">
        <f t="shared" si="407"/>
        <v>0</v>
      </c>
      <c r="KT70" s="157">
        <f t="shared" si="178"/>
        <v>0</v>
      </c>
      <c r="KU70" s="157">
        <f t="shared" si="179"/>
        <v>3997.7384651346733</v>
      </c>
      <c r="KV70" s="157">
        <f t="shared" si="408"/>
        <v>0</v>
      </c>
      <c r="KW70" s="200">
        <f t="shared" si="409"/>
        <v>2.5014142588897761E-54</v>
      </c>
      <c r="KX70" s="157">
        <f t="shared" si="410"/>
        <v>1E-50</v>
      </c>
      <c r="KY70" s="157">
        <f t="shared" si="411"/>
        <v>645.54794520547944</v>
      </c>
      <c r="KZ70" s="162">
        <f t="shared" si="47"/>
        <v>645.54794520547944</v>
      </c>
      <c r="LA70" s="157">
        <f t="shared" si="184"/>
        <v>645.54794520547944</v>
      </c>
      <c r="LB70" s="157">
        <f t="shared" si="185"/>
        <v>0</v>
      </c>
      <c r="LC70" s="207">
        <f t="shared" si="412"/>
        <v>258.21917808219177</v>
      </c>
      <c r="LD70" s="207">
        <f t="shared" si="187"/>
        <v>0</v>
      </c>
      <c r="LE70" s="157">
        <f t="shared" si="188"/>
        <v>0</v>
      </c>
      <c r="LF70" s="157">
        <f t="shared" si="413"/>
        <v>0</v>
      </c>
      <c r="LG70" s="157">
        <f t="shared" si="414"/>
        <v>0</v>
      </c>
      <c r="LH70" s="168">
        <f t="shared" si="415"/>
        <v>0</v>
      </c>
      <c r="LI70" s="168">
        <f t="shared" si="416"/>
        <v>0</v>
      </c>
      <c r="LJ70" s="168">
        <f t="shared" si="417"/>
        <v>0</v>
      </c>
      <c r="LK70" s="157">
        <f t="shared" si="194"/>
        <v>645.54794520547944</v>
      </c>
      <c r="LL70" s="168">
        <f t="shared" si="418"/>
        <v>0</v>
      </c>
      <c r="LM70" s="168">
        <f t="shared" si="419"/>
        <v>3.1100000000000103E-51</v>
      </c>
      <c r="LN70" s="168">
        <f t="shared" si="420"/>
        <v>200.76541095890477</v>
      </c>
      <c r="LO70" s="168">
        <f t="shared" si="198"/>
        <v>200.76541095890477</v>
      </c>
      <c r="LP70" s="168">
        <f t="shared" si="199"/>
        <v>200.76541095890477</v>
      </c>
      <c r="LQ70" s="157">
        <f t="shared" si="200"/>
        <v>0</v>
      </c>
      <c r="LR70" s="168">
        <f t="shared" si="421"/>
        <v>0</v>
      </c>
      <c r="LT70" s="168">
        <f t="shared" si="422"/>
        <v>0</v>
      </c>
      <c r="LU70" s="168">
        <f t="shared" si="423"/>
        <v>0</v>
      </c>
      <c r="LV70" s="181"/>
      <c r="LY70" s="168">
        <f t="shared" ref="LY70:LZ70" si="524">LY69</f>
        <v>2.5</v>
      </c>
      <c r="LZ70" s="161">
        <f t="shared" si="524"/>
        <v>350</v>
      </c>
      <c r="MA70" s="161">
        <f t="shared" si="425"/>
        <v>525</v>
      </c>
      <c r="MB70" s="161">
        <f t="shared" si="426"/>
        <v>875</v>
      </c>
      <c r="MC70" s="161">
        <v>311.00000000000102</v>
      </c>
      <c r="MD70" s="168">
        <f t="shared" si="427"/>
        <v>2.5</v>
      </c>
      <c r="ME70" s="161">
        <v>0</v>
      </c>
      <c r="MF70" s="161">
        <v>0</v>
      </c>
      <c r="MG70" s="161">
        <v>0</v>
      </c>
      <c r="MH70" s="168">
        <f t="shared" ref="MH70" si="525">MH69</f>
        <v>0.56785714285714284</v>
      </c>
      <c r="MI70" s="154">
        <f t="shared" si="205"/>
        <v>24.5</v>
      </c>
      <c r="MJ70" s="181">
        <f t="shared" si="429"/>
        <v>24.5</v>
      </c>
      <c r="MK70" s="181">
        <f t="shared" si="430"/>
        <v>24.5</v>
      </c>
      <c r="ML70" s="154">
        <f t="shared" si="208"/>
        <v>24.5</v>
      </c>
      <c r="MM70" s="181">
        <f t="shared" si="431"/>
        <v>24.5</v>
      </c>
      <c r="MN70" s="181">
        <f t="shared" si="432"/>
        <v>24.5</v>
      </c>
      <c r="MO70" s="181">
        <f t="shared" si="433"/>
        <v>24.5</v>
      </c>
      <c r="MP70" s="181">
        <f t="shared" si="212"/>
        <v>24.5</v>
      </c>
      <c r="MQ70" s="157">
        <f t="shared" si="434"/>
        <v>0</v>
      </c>
      <c r="MR70" s="157">
        <f t="shared" si="213"/>
        <v>0</v>
      </c>
      <c r="MS70" s="157">
        <f t="shared" si="435"/>
        <v>0</v>
      </c>
      <c r="MT70" s="157">
        <f t="shared" si="436"/>
        <v>0</v>
      </c>
      <c r="MU70" s="157">
        <f t="shared" si="216"/>
        <v>0</v>
      </c>
      <c r="MV70" s="157">
        <f t="shared" si="217"/>
        <v>3997.7384651346733</v>
      </c>
      <c r="MW70" s="157">
        <f t="shared" si="437"/>
        <v>0</v>
      </c>
      <c r="MX70" s="200">
        <f t="shared" si="438"/>
        <v>2.5014142588897761E-54</v>
      </c>
      <c r="MY70" s="157">
        <f t="shared" si="439"/>
        <v>1E-50</v>
      </c>
      <c r="MZ70" s="157">
        <f t="shared" si="440"/>
        <v>645.54794520547944</v>
      </c>
      <c r="NA70" s="162">
        <f t="shared" si="222"/>
        <v>645.54794520547944</v>
      </c>
      <c r="NB70" s="157">
        <f t="shared" si="223"/>
        <v>645.54794520547944</v>
      </c>
      <c r="NC70" s="157">
        <f t="shared" si="224"/>
        <v>0</v>
      </c>
      <c r="ND70" s="207">
        <f t="shared" si="441"/>
        <v>258.21917808219177</v>
      </c>
      <c r="NE70" s="207">
        <f t="shared" si="225"/>
        <v>0</v>
      </c>
      <c r="NF70" s="157">
        <f t="shared" si="226"/>
        <v>0</v>
      </c>
      <c r="NG70" s="157">
        <f t="shared" si="442"/>
        <v>0</v>
      </c>
      <c r="NH70" s="157">
        <f t="shared" si="443"/>
        <v>0</v>
      </c>
      <c r="NI70" s="168">
        <f t="shared" si="444"/>
        <v>0</v>
      </c>
      <c r="NJ70" s="168">
        <f t="shared" si="445"/>
        <v>0</v>
      </c>
      <c r="NK70" s="168">
        <f t="shared" si="446"/>
        <v>0</v>
      </c>
      <c r="NL70" s="157">
        <f t="shared" si="230"/>
        <v>645.54794520547944</v>
      </c>
      <c r="NM70" s="168">
        <f t="shared" si="447"/>
        <v>0</v>
      </c>
      <c r="NN70" s="168">
        <f t="shared" si="448"/>
        <v>3.1100000000000103E-51</v>
      </c>
      <c r="NO70" s="168">
        <f t="shared" si="449"/>
        <v>200.76541095890477</v>
      </c>
      <c r="NP70" s="168">
        <f t="shared" si="234"/>
        <v>200.76541095890477</v>
      </c>
      <c r="NQ70" s="168">
        <f t="shared" si="235"/>
        <v>200.76541095890477</v>
      </c>
      <c r="NR70" s="157">
        <f t="shared" si="236"/>
        <v>0</v>
      </c>
      <c r="NS70" s="168">
        <f t="shared" si="450"/>
        <v>0</v>
      </c>
      <c r="NT70" s="157">
        <f t="shared" si="319"/>
        <v>645.54794520547944</v>
      </c>
      <c r="NU70" s="168">
        <f t="shared" si="451"/>
        <v>0</v>
      </c>
      <c r="NV70" s="168">
        <f t="shared" si="452"/>
        <v>0</v>
      </c>
      <c r="NX70" s="157"/>
      <c r="NY70" s="157"/>
      <c r="NZ70" s="157"/>
      <c r="OA70" s="157"/>
      <c r="OB70" s="157"/>
    </row>
    <row r="71" spans="1:392" ht="13" x14ac:dyDescent="0.3">
      <c r="A71" s="154">
        <v>99.851598173515981</v>
      </c>
      <c r="B71" s="154">
        <v>25.5</v>
      </c>
      <c r="C71" s="154">
        <f t="shared" si="320"/>
        <v>25.5</v>
      </c>
      <c r="D71" s="154">
        <v>17592.099999999999</v>
      </c>
      <c r="E71" s="200">
        <f t="shared" si="332"/>
        <v>567.48709677420197</v>
      </c>
      <c r="F71" s="181">
        <f t="shared" si="333"/>
        <v>0</v>
      </c>
      <c r="G71" s="161">
        <f t="shared" si="334"/>
        <v>30.999999999999535</v>
      </c>
      <c r="H71" s="154">
        <f t="shared" si="55"/>
        <v>0</v>
      </c>
      <c r="I71" s="161">
        <f t="shared" si="56"/>
        <v>0</v>
      </c>
      <c r="J71" s="181">
        <f t="shared" si="57"/>
        <v>25.5</v>
      </c>
      <c r="K71" s="181">
        <f t="shared" si="58"/>
        <v>25.5</v>
      </c>
      <c r="L71" s="181">
        <f t="shared" si="59"/>
        <v>25.5</v>
      </c>
      <c r="M71" s="181">
        <f t="shared" si="60"/>
        <v>25.5</v>
      </c>
      <c r="N71" s="181">
        <f t="shared" si="61"/>
        <v>25.5</v>
      </c>
      <c r="O71" s="181">
        <f t="shared" si="62"/>
        <v>25.5</v>
      </c>
      <c r="P71" s="181">
        <f t="shared" si="63"/>
        <v>25.5</v>
      </c>
      <c r="Q71" s="181">
        <f t="shared" si="64"/>
        <v>25.5</v>
      </c>
      <c r="R71" s="168">
        <f t="shared" si="65"/>
        <v>0</v>
      </c>
      <c r="S71" s="161">
        <f t="shared" si="66"/>
        <v>20.011986301369561</v>
      </c>
      <c r="T71" s="161">
        <f t="shared" si="67"/>
        <v>35.65012492461446</v>
      </c>
      <c r="U71" s="161">
        <f t="shared" si="68"/>
        <v>35.65012492461446</v>
      </c>
      <c r="V71" s="154">
        <f t="shared" si="69"/>
        <v>0</v>
      </c>
      <c r="W71" s="154">
        <f t="shared" si="70"/>
        <v>0.64554794520547942</v>
      </c>
      <c r="X71" s="154">
        <f t="shared" si="71"/>
        <v>0.64554794520547942</v>
      </c>
      <c r="Y71" s="154">
        <f t="shared" si="72"/>
        <v>0.64554794520547942</v>
      </c>
      <c r="Z71" s="154">
        <f t="shared" si="321"/>
        <v>0</v>
      </c>
      <c r="AA71" s="154">
        <f t="shared" si="322"/>
        <v>9.9999999999999991E-54</v>
      </c>
      <c r="AB71" s="154">
        <f t="shared" si="323"/>
        <v>0.64554794520547942</v>
      </c>
      <c r="AC71" s="154">
        <f t="shared" si="324"/>
        <v>0.64554794520547942</v>
      </c>
      <c r="AD71" s="154">
        <f t="shared" si="325"/>
        <v>0</v>
      </c>
      <c r="AE71" s="154">
        <f t="shared" si="326"/>
        <v>0</v>
      </c>
      <c r="AF71" s="154">
        <f t="shared" si="327"/>
        <v>0</v>
      </c>
      <c r="AG71" s="154">
        <f t="shared" si="75"/>
        <v>0</v>
      </c>
      <c r="AH71" s="154">
        <f t="shared" si="76"/>
        <v>0</v>
      </c>
      <c r="AI71" s="154">
        <f t="shared" si="77"/>
        <v>0.58732876712328763</v>
      </c>
      <c r="AJ71" s="154">
        <f t="shared" si="78"/>
        <v>5.8219178082191785E-2</v>
      </c>
      <c r="AK71" s="154">
        <f t="shared" si="79"/>
        <v>0</v>
      </c>
      <c r="AL71" s="161">
        <f t="shared" si="80"/>
        <v>587.32876712328766</v>
      </c>
      <c r="AM71" s="161">
        <f t="shared" si="81"/>
        <v>58.219178082191782</v>
      </c>
      <c r="AN71" s="161">
        <f t="shared" si="82"/>
        <v>0</v>
      </c>
      <c r="AO71" s="161"/>
      <c r="AP71" s="154">
        <f t="shared" si="83"/>
        <v>0.64554794520547942</v>
      </c>
      <c r="AQ71" s="154">
        <f t="shared" si="84"/>
        <v>0.64554794520547942</v>
      </c>
      <c r="AR71" s="154">
        <f t="shared" si="85"/>
        <v>0</v>
      </c>
      <c r="AS71" s="161"/>
      <c r="AT71" s="161"/>
      <c r="AU71" s="161"/>
      <c r="AV71" s="161"/>
      <c r="AW71" s="181"/>
      <c r="AX71" s="181"/>
      <c r="AY71" s="181"/>
      <c r="AZ71" s="181"/>
      <c r="BA71" s="181"/>
      <c r="BB71" s="161"/>
      <c r="BC71" s="161"/>
      <c r="BD71" s="161"/>
      <c r="BE71" s="181"/>
      <c r="BF71" s="168"/>
      <c r="BG71" s="181"/>
      <c r="BH71" s="168"/>
      <c r="BI71" s="168"/>
      <c r="BJ71" s="161"/>
      <c r="BK71" s="168"/>
      <c r="BL71" s="168"/>
      <c r="BM71" s="168"/>
      <c r="BN71" s="168"/>
      <c r="BO71" s="168">
        <f t="shared" si="335"/>
        <v>18.207191780821642</v>
      </c>
      <c r="BP71" s="168">
        <f t="shared" si="336"/>
        <v>1.8047945205479183</v>
      </c>
      <c r="BQ71" s="168">
        <f t="shared" si="337"/>
        <v>0</v>
      </c>
      <c r="BR71" s="181"/>
      <c r="BS71" s="161"/>
      <c r="BT71" s="168"/>
      <c r="BU71" s="161"/>
      <c r="BV71" s="161"/>
      <c r="BW71" s="161"/>
      <c r="BX71" s="161"/>
      <c r="CB71" s="181">
        <f t="shared" si="453"/>
        <v>520.38651854718557</v>
      </c>
      <c r="CC71" s="181">
        <f t="shared" si="453"/>
        <v>0</v>
      </c>
      <c r="CD71" s="181">
        <f t="shared" si="453"/>
        <v>608.23428685255044</v>
      </c>
      <c r="CE71" s="181">
        <f t="shared" si="453"/>
        <v>0</v>
      </c>
      <c r="CF71" s="181">
        <f t="shared" si="453"/>
        <v>2023.2488989699002</v>
      </c>
      <c r="CG71" s="181">
        <f t="shared" si="453"/>
        <v>0</v>
      </c>
      <c r="CH71" s="181">
        <f t="shared" si="453"/>
        <v>609.0293643517042</v>
      </c>
      <c r="CI71" s="181">
        <f t="shared" si="453"/>
        <v>0</v>
      </c>
      <c r="CJ71" s="182">
        <f t="shared" si="338"/>
        <v>3760.8990687213409</v>
      </c>
      <c r="CK71" s="161">
        <f t="shared" si="339"/>
        <v>3760.8990687213409</v>
      </c>
      <c r="CL71" s="161">
        <f t="shared" si="243"/>
        <v>529.19999999999993</v>
      </c>
      <c r="CM71" s="182">
        <f t="shared" si="340"/>
        <v>4290.0990687213407</v>
      </c>
      <c r="CN71" s="157">
        <f t="shared" si="341"/>
        <v>116.58787113035982</v>
      </c>
      <c r="CO71" s="162">
        <f t="shared" si="342"/>
        <v>4290.0990687213407</v>
      </c>
      <c r="FT71" s="168">
        <f t="shared" si="244"/>
        <v>2.5</v>
      </c>
      <c r="FU71" s="161">
        <f t="shared" si="245"/>
        <v>350</v>
      </c>
      <c r="FV71" s="161">
        <f t="shared" si="343"/>
        <v>525</v>
      </c>
      <c r="FW71" s="161">
        <f t="shared" si="344"/>
        <v>875</v>
      </c>
      <c r="FX71" s="161">
        <v>312.00000000000102</v>
      </c>
      <c r="FY71" s="168">
        <f t="shared" si="345"/>
        <v>2.5</v>
      </c>
      <c r="FZ71" s="161">
        <v>3.499999999999992E-9</v>
      </c>
      <c r="GA71" s="161">
        <v>5.2499999999999883E-9</v>
      </c>
      <c r="GB71" s="161">
        <v>8.7499999999999807E-9</v>
      </c>
      <c r="GC71" s="168">
        <f t="shared" si="246"/>
        <v>0.56785714285714284</v>
      </c>
      <c r="GD71" s="154">
        <f t="shared" si="97"/>
        <v>25.5</v>
      </c>
      <c r="GE71" s="181">
        <f t="shared" si="346"/>
        <v>25.5</v>
      </c>
      <c r="GF71" s="181">
        <f t="shared" si="347"/>
        <v>25.5</v>
      </c>
      <c r="GG71" s="154">
        <f t="shared" si="99"/>
        <v>25.5</v>
      </c>
      <c r="GH71" s="181">
        <f t="shared" si="348"/>
        <v>25.5</v>
      </c>
      <c r="GI71" s="181">
        <f t="shared" si="349"/>
        <v>25.500000000137579</v>
      </c>
      <c r="GJ71" s="181">
        <f t="shared" si="102"/>
        <v>25.500000000137579</v>
      </c>
      <c r="GK71" s="181">
        <f t="shared" si="103"/>
        <v>25.5</v>
      </c>
      <c r="GL71" s="157">
        <f t="shared" si="350"/>
        <v>0</v>
      </c>
      <c r="GM71" s="157">
        <f t="shared" si="105"/>
        <v>0</v>
      </c>
      <c r="GN71" s="157">
        <f t="shared" si="106"/>
        <v>0</v>
      </c>
      <c r="GO71" s="157">
        <f t="shared" si="107"/>
        <v>0</v>
      </c>
      <c r="GP71" s="157">
        <f t="shared" si="108"/>
        <v>0</v>
      </c>
      <c r="GQ71" s="157">
        <f t="shared" si="109"/>
        <v>4290.0990687213407</v>
      </c>
      <c r="GR71" s="157">
        <f t="shared" si="351"/>
        <v>0</v>
      </c>
      <c r="GS71" s="200">
        <f t="shared" si="352"/>
        <v>2.3309485025436692E-54</v>
      </c>
      <c r="GT71" s="157">
        <f t="shared" si="353"/>
        <v>9.9999999999999989E-51</v>
      </c>
      <c r="GU71" s="157">
        <f t="shared" si="354"/>
        <v>645.54794520547944</v>
      </c>
      <c r="GV71" s="162">
        <f t="shared" si="114"/>
        <v>645.54794520547944</v>
      </c>
      <c r="GW71" s="157">
        <f t="shared" si="355"/>
        <v>645.54794520547944</v>
      </c>
      <c r="GX71" s="157">
        <f t="shared" si="247"/>
        <v>0</v>
      </c>
      <c r="GY71" s="207">
        <f t="shared" si="356"/>
        <v>258.21917808219177</v>
      </c>
      <c r="GZ71" s="207">
        <f t="shared" si="116"/>
        <v>0</v>
      </c>
      <c r="HA71" s="157">
        <f t="shared" si="117"/>
        <v>3.499999999999991E-10</v>
      </c>
      <c r="HB71" s="157">
        <f t="shared" si="357"/>
        <v>5.249999999999987E-10</v>
      </c>
      <c r="HC71" s="157">
        <f t="shared" si="358"/>
        <v>8.749999999999977E-10</v>
      </c>
      <c r="HD71" s="168">
        <f t="shared" si="359"/>
        <v>1.0920000000000009E-10</v>
      </c>
      <c r="HE71" s="168">
        <f t="shared" si="360"/>
        <v>1.6380000000000012E-10</v>
      </c>
      <c r="HF71" s="168">
        <f t="shared" si="361"/>
        <v>2.7300000000000019E-10</v>
      </c>
      <c r="HG71" s="157">
        <f t="shared" si="119"/>
        <v>645.54794520460439</v>
      </c>
      <c r="HH71" s="168">
        <f t="shared" si="362"/>
        <v>0</v>
      </c>
      <c r="HI71" s="168">
        <f t="shared" si="363"/>
        <v>3.1200000000000102E-51</v>
      </c>
      <c r="HJ71" s="168">
        <f t="shared" si="364"/>
        <v>201.41095890411023</v>
      </c>
      <c r="HK71" s="168">
        <f t="shared" si="123"/>
        <v>201.41095890383721</v>
      </c>
      <c r="HL71" s="168">
        <f t="shared" si="124"/>
        <v>201.41095890411023</v>
      </c>
      <c r="HM71" s="157">
        <f t="shared" si="125"/>
        <v>8.7500140466545417E-9</v>
      </c>
      <c r="HN71" s="168">
        <f t="shared" si="365"/>
        <v>1.6380000000000012E-10</v>
      </c>
      <c r="HP71" s="168">
        <f t="shared" si="366"/>
        <v>0</v>
      </c>
      <c r="HQ71" s="168">
        <f t="shared" si="367"/>
        <v>0</v>
      </c>
      <c r="HR71" s="181"/>
      <c r="HU71" s="168">
        <f t="shared" ref="HU71:HV71" si="526">HU70</f>
        <v>2.5</v>
      </c>
      <c r="HV71" s="161">
        <f t="shared" si="526"/>
        <v>350</v>
      </c>
      <c r="HW71" s="161">
        <f t="shared" si="369"/>
        <v>525</v>
      </c>
      <c r="HX71" s="161">
        <f t="shared" si="370"/>
        <v>875</v>
      </c>
      <c r="HY71" s="161">
        <v>312.00000000000102</v>
      </c>
      <c r="HZ71" s="168">
        <f t="shared" si="371"/>
        <v>2.5</v>
      </c>
      <c r="IA71" s="161">
        <v>0</v>
      </c>
      <c r="IB71" s="161">
        <v>0</v>
      </c>
      <c r="IC71" s="161">
        <v>0</v>
      </c>
      <c r="ID71" s="168">
        <f t="shared" ref="ID71" si="527">ID70</f>
        <v>0.56785714285714284</v>
      </c>
      <c r="IE71" s="154">
        <f t="shared" si="130"/>
        <v>25.5</v>
      </c>
      <c r="IF71" s="154">
        <f t="shared" si="131"/>
        <v>25.5</v>
      </c>
      <c r="IG71" s="181">
        <f t="shared" si="373"/>
        <v>25.5</v>
      </c>
      <c r="IH71" s="181">
        <f t="shared" si="374"/>
        <v>25.5</v>
      </c>
      <c r="II71" s="181">
        <f t="shared" si="375"/>
        <v>25.5</v>
      </c>
      <c r="IJ71" s="181">
        <f t="shared" si="376"/>
        <v>25.5</v>
      </c>
      <c r="IK71" s="181">
        <f t="shared" si="377"/>
        <v>25.5</v>
      </c>
      <c r="IL71" s="181">
        <f t="shared" si="250"/>
        <v>0</v>
      </c>
      <c r="IM71" s="181">
        <f t="shared" si="137"/>
        <v>25.5</v>
      </c>
      <c r="IN71" s="157">
        <f t="shared" si="378"/>
        <v>0</v>
      </c>
      <c r="IO71" s="157">
        <f t="shared" si="139"/>
        <v>0</v>
      </c>
      <c r="IP71" s="157">
        <f t="shared" si="42"/>
        <v>0</v>
      </c>
      <c r="IQ71" s="157">
        <f t="shared" si="43"/>
        <v>0</v>
      </c>
      <c r="IR71" s="157">
        <f t="shared" si="140"/>
        <v>0</v>
      </c>
      <c r="IS71" s="157">
        <f t="shared" si="141"/>
        <v>4290.0990687213407</v>
      </c>
      <c r="IT71" s="157">
        <f t="shared" si="379"/>
        <v>0</v>
      </c>
      <c r="IU71" s="200">
        <f t="shared" si="380"/>
        <v>2.3309485025436692E-54</v>
      </c>
      <c r="IV71" s="157">
        <f t="shared" si="381"/>
        <v>9.9999999999999989E-51</v>
      </c>
      <c r="IW71" s="157">
        <f t="shared" si="382"/>
        <v>645.54794520547944</v>
      </c>
      <c r="IX71" s="162">
        <f t="shared" si="146"/>
        <v>645.54794520547944</v>
      </c>
      <c r="IY71" s="157">
        <f t="shared" si="22"/>
        <v>645.54794520547944</v>
      </c>
      <c r="IZ71" s="157">
        <f t="shared" si="147"/>
        <v>0</v>
      </c>
      <c r="JA71" s="207">
        <f t="shared" si="383"/>
        <v>258.21917808219177</v>
      </c>
      <c r="JB71" s="207">
        <f t="shared" si="149"/>
        <v>0</v>
      </c>
      <c r="JC71" s="157">
        <f t="shared" si="150"/>
        <v>0</v>
      </c>
      <c r="JD71" s="157">
        <f t="shared" si="384"/>
        <v>0</v>
      </c>
      <c r="JE71" s="157">
        <f t="shared" si="385"/>
        <v>0</v>
      </c>
      <c r="JF71" s="168">
        <f t="shared" si="386"/>
        <v>0</v>
      </c>
      <c r="JG71" s="168">
        <f t="shared" si="387"/>
        <v>0</v>
      </c>
      <c r="JH71" s="168">
        <f t="shared" si="388"/>
        <v>0</v>
      </c>
      <c r="JI71" s="157">
        <f t="shared" si="156"/>
        <v>645.54794520547944</v>
      </c>
      <c r="JJ71" s="168">
        <f t="shared" si="389"/>
        <v>0</v>
      </c>
      <c r="JK71" s="168">
        <f t="shared" si="390"/>
        <v>3.1200000000000102E-51</v>
      </c>
      <c r="JL71" s="168">
        <f t="shared" si="391"/>
        <v>201.41095890411023</v>
      </c>
      <c r="JM71" s="168">
        <f t="shared" si="160"/>
        <v>201.41095890411023</v>
      </c>
      <c r="JN71" s="168">
        <f t="shared" si="161"/>
        <v>201.41095890411023</v>
      </c>
      <c r="JO71" s="157">
        <f t="shared" si="162"/>
        <v>0</v>
      </c>
      <c r="JP71" s="168">
        <f t="shared" si="392"/>
        <v>0</v>
      </c>
      <c r="JR71" s="168">
        <f t="shared" si="393"/>
        <v>0</v>
      </c>
      <c r="JS71" s="168">
        <f t="shared" si="394"/>
        <v>0</v>
      </c>
      <c r="JT71" s="181"/>
      <c r="JW71" s="168">
        <f t="shared" ref="JW71:JX71" si="528">JW70</f>
        <v>2.5</v>
      </c>
      <c r="JX71" s="161">
        <f t="shared" si="528"/>
        <v>350</v>
      </c>
      <c r="JY71" s="161">
        <f t="shared" si="396"/>
        <v>525</v>
      </c>
      <c r="JZ71" s="161">
        <f t="shared" si="397"/>
        <v>875</v>
      </c>
      <c r="KA71" s="161">
        <v>312.00000000000102</v>
      </c>
      <c r="KB71" s="168">
        <f t="shared" si="398"/>
        <v>2.5</v>
      </c>
      <c r="KC71" s="161">
        <v>0</v>
      </c>
      <c r="KD71" s="161">
        <v>0</v>
      </c>
      <c r="KE71" s="161">
        <v>0</v>
      </c>
      <c r="KF71" s="168">
        <f t="shared" ref="KF71" si="529">KF70</f>
        <v>0.56785714285714284</v>
      </c>
      <c r="KG71" s="154">
        <f t="shared" si="167"/>
        <v>25.5</v>
      </c>
      <c r="KH71" s="154">
        <f t="shared" si="168"/>
        <v>25.5</v>
      </c>
      <c r="KI71" s="181">
        <f t="shared" si="400"/>
        <v>25.5</v>
      </c>
      <c r="KJ71" s="181">
        <f t="shared" si="401"/>
        <v>25.5</v>
      </c>
      <c r="KK71" s="181">
        <f t="shared" si="402"/>
        <v>25.5</v>
      </c>
      <c r="KL71" s="181">
        <f t="shared" si="403"/>
        <v>25.5</v>
      </c>
      <c r="KM71" s="181">
        <f t="shared" si="404"/>
        <v>25.5</v>
      </c>
      <c r="KN71" s="181">
        <f t="shared" si="253"/>
        <v>0</v>
      </c>
      <c r="KO71" s="181">
        <f t="shared" si="174"/>
        <v>25.5</v>
      </c>
      <c r="KP71" s="157">
        <f t="shared" si="405"/>
        <v>0</v>
      </c>
      <c r="KQ71" s="157">
        <f t="shared" si="46"/>
        <v>0</v>
      </c>
      <c r="KR71" s="157">
        <f t="shared" si="406"/>
        <v>0</v>
      </c>
      <c r="KS71" s="157">
        <f t="shared" si="407"/>
        <v>0</v>
      </c>
      <c r="KT71" s="157">
        <f t="shared" si="178"/>
        <v>0</v>
      </c>
      <c r="KU71" s="157">
        <f t="shared" si="179"/>
        <v>4290.0990687213407</v>
      </c>
      <c r="KV71" s="157">
        <f t="shared" si="408"/>
        <v>0</v>
      </c>
      <c r="KW71" s="200">
        <f t="shared" si="409"/>
        <v>2.3309485025436692E-54</v>
      </c>
      <c r="KX71" s="157">
        <f t="shared" si="410"/>
        <v>9.9999999999999989E-51</v>
      </c>
      <c r="KY71" s="157">
        <f t="shared" si="411"/>
        <v>645.54794520547944</v>
      </c>
      <c r="KZ71" s="162">
        <f t="shared" si="47"/>
        <v>645.54794520547944</v>
      </c>
      <c r="LA71" s="157">
        <f t="shared" si="184"/>
        <v>645.54794520547944</v>
      </c>
      <c r="LB71" s="157">
        <f t="shared" si="185"/>
        <v>0</v>
      </c>
      <c r="LC71" s="207">
        <f t="shared" si="412"/>
        <v>258.21917808219177</v>
      </c>
      <c r="LD71" s="207">
        <f t="shared" si="187"/>
        <v>0</v>
      </c>
      <c r="LE71" s="157">
        <f t="shared" si="188"/>
        <v>0</v>
      </c>
      <c r="LF71" s="157">
        <f t="shared" si="413"/>
        <v>0</v>
      </c>
      <c r="LG71" s="157">
        <f t="shared" si="414"/>
        <v>0</v>
      </c>
      <c r="LH71" s="168">
        <f t="shared" si="415"/>
        <v>0</v>
      </c>
      <c r="LI71" s="168">
        <f t="shared" si="416"/>
        <v>0</v>
      </c>
      <c r="LJ71" s="168">
        <f t="shared" si="417"/>
        <v>0</v>
      </c>
      <c r="LK71" s="157">
        <f t="shared" si="194"/>
        <v>645.54794520547944</v>
      </c>
      <c r="LL71" s="168">
        <f t="shared" si="418"/>
        <v>0</v>
      </c>
      <c r="LM71" s="168">
        <f t="shared" si="419"/>
        <v>3.1200000000000102E-51</v>
      </c>
      <c r="LN71" s="168">
        <f t="shared" si="420"/>
        <v>201.41095890411023</v>
      </c>
      <c r="LO71" s="168">
        <f t="shared" si="198"/>
        <v>201.41095890411023</v>
      </c>
      <c r="LP71" s="168">
        <f t="shared" si="199"/>
        <v>201.41095890411023</v>
      </c>
      <c r="LQ71" s="157">
        <f t="shared" si="200"/>
        <v>0</v>
      </c>
      <c r="LR71" s="168">
        <f t="shared" si="421"/>
        <v>0</v>
      </c>
      <c r="LT71" s="168">
        <f t="shared" si="422"/>
        <v>0</v>
      </c>
      <c r="LU71" s="168">
        <f t="shared" si="423"/>
        <v>0</v>
      </c>
      <c r="LV71" s="181"/>
      <c r="LY71" s="168">
        <f t="shared" ref="LY71:LZ71" si="530">LY70</f>
        <v>2.5</v>
      </c>
      <c r="LZ71" s="161">
        <f t="shared" si="530"/>
        <v>350</v>
      </c>
      <c r="MA71" s="161">
        <f t="shared" si="425"/>
        <v>525</v>
      </c>
      <c r="MB71" s="161">
        <f t="shared" si="426"/>
        <v>875</v>
      </c>
      <c r="MC71" s="161">
        <v>312.00000000000102</v>
      </c>
      <c r="MD71" s="168">
        <f t="shared" si="427"/>
        <v>2.5</v>
      </c>
      <c r="ME71" s="161">
        <v>0</v>
      </c>
      <c r="MF71" s="161">
        <v>0</v>
      </c>
      <c r="MG71" s="161">
        <v>0</v>
      </c>
      <c r="MH71" s="168">
        <f t="shared" ref="MH71" si="531">MH70</f>
        <v>0.56785714285714284</v>
      </c>
      <c r="MI71" s="154">
        <f t="shared" si="205"/>
        <v>25.5</v>
      </c>
      <c r="MJ71" s="181">
        <f t="shared" si="429"/>
        <v>25.5</v>
      </c>
      <c r="MK71" s="181">
        <f t="shared" si="430"/>
        <v>25.5</v>
      </c>
      <c r="ML71" s="154">
        <f t="shared" si="208"/>
        <v>25.5</v>
      </c>
      <c r="MM71" s="181">
        <f t="shared" si="431"/>
        <v>25.5</v>
      </c>
      <c r="MN71" s="181">
        <f t="shared" si="432"/>
        <v>25.5</v>
      </c>
      <c r="MO71" s="181">
        <f t="shared" si="433"/>
        <v>25.5</v>
      </c>
      <c r="MP71" s="181">
        <f t="shared" si="212"/>
        <v>25.5</v>
      </c>
      <c r="MQ71" s="157">
        <f t="shared" si="434"/>
        <v>0</v>
      </c>
      <c r="MR71" s="157">
        <f t="shared" si="213"/>
        <v>0</v>
      </c>
      <c r="MS71" s="157">
        <f t="shared" si="435"/>
        <v>0</v>
      </c>
      <c r="MT71" s="157">
        <f t="shared" si="436"/>
        <v>0</v>
      </c>
      <c r="MU71" s="157">
        <f t="shared" si="216"/>
        <v>0</v>
      </c>
      <c r="MV71" s="157">
        <f t="shared" si="217"/>
        <v>4290.0990687213407</v>
      </c>
      <c r="MW71" s="157">
        <f t="shared" si="437"/>
        <v>0</v>
      </c>
      <c r="MX71" s="200">
        <f t="shared" si="438"/>
        <v>2.3309485025436692E-54</v>
      </c>
      <c r="MY71" s="157">
        <f t="shared" si="439"/>
        <v>9.9999999999999989E-51</v>
      </c>
      <c r="MZ71" s="157">
        <f t="shared" si="440"/>
        <v>645.54794520547944</v>
      </c>
      <c r="NA71" s="162">
        <f t="shared" si="222"/>
        <v>645.54794520547944</v>
      </c>
      <c r="NB71" s="157">
        <f t="shared" si="223"/>
        <v>645.54794520547944</v>
      </c>
      <c r="NC71" s="157">
        <f t="shared" si="224"/>
        <v>0</v>
      </c>
      <c r="ND71" s="207">
        <f t="shared" si="441"/>
        <v>258.21917808219177</v>
      </c>
      <c r="NE71" s="207">
        <f t="shared" si="225"/>
        <v>0</v>
      </c>
      <c r="NF71" s="157">
        <f t="shared" si="226"/>
        <v>0</v>
      </c>
      <c r="NG71" s="157">
        <f t="shared" si="442"/>
        <v>0</v>
      </c>
      <c r="NH71" s="157">
        <f t="shared" si="443"/>
        <v>0</v>
      </c>
      <c r="NI71" s="168">
        <f t="shared" si="444"/>
        <v>0</v>
      </c>
      <c r="NJ71" s="168">
        <f t="shared" si="445"/>
        <v>0</v>
      </c>
      <c r="NK71" s="168">
        <f t="shared" si="446"/>
        <v>0</v>
      </c>
      <c r="NL71" s="157">
        <f t="shared" si="230"/>
        <v>645.54794520547944</v>
      </c>
      <c r="NM71" s="168">
        <f t="shared" si="447"/>
        <v>0</v>
      </c>
      <c r="NN71" s="168">
        <f t="shared" si="448"/>
        <v>3.1200000000000102E-51</v>
      </c>
      <c r="NO71" s="168">
        <f t="shared" si="449"/>
        <v>201.41095890411023</v>
      </c>
      <c r="NP71" s="168">
        <f t="shared" si="234"/>
        <v>201.41095890411023</v>
      </c>
      <c r="NQ71" s="168">
        <f t="shared" si="235"/>
        <v>201.41095890411023</v>
      </c>
      <c r="NR71" s="157">
        <f t="shared" si="236"/>
        <v>0</v>
      </c>
      <c r="NS71" s="168">
        <f t="shared" si="450"/>
        <v>0</v>
      </c>
      <c r="NT71" s="157">
        <f t="shared" si="319"/>
        <v>645.54794520547944</v>
      </c>
      <c r="NU71" s="168">
        <f t="shared" si="451"/>
        <v>0</v>
      </c>
      <c r="NV71" s="168">
        <f t="shared" si="452"/>
        <v>0</v>
      </c>
      <c r="NX71" s="157"/>
      <c r="NY71" s="157"/>
      <c r="NZ71" s="157"/>
      <c r="OA71" s="157"/>
      <c r="OB71" s="157"/>
    </row>
    <row r="72" spans="1:392" ht="13" x14ac:dyDescent="0.3">
      <c r="A72" s="154">
        <v>99.908675799086751</v>
      </c>
      <c r="B72" s="154">
        <v>26.5</v>
      </c>
      <c r="C72" s="154">
        <f t="shared" si="320"/>
        <v>26.5</v>
      </c>
      <c r="D72" s="154">
        <v>2258</v>
      </c>
      <c r="E72" s="200">
        <f t="shared" si="332"/>
        <v>451.60000000005027</v>
      </c>
      <c r="F72" s="181">
        <f t="shared" si="333"/>
        <v>0</v>
      </c>
      <c r="G72" s="161">
        <f t="shared" si="334"/>
        <v>4.9999999999994431</v>
      </c>
      <c r="H72" s="154">
        <f t="shared" si="55"/>
        <v>0</v>
      </c>
      <c r="I72" s="161">
        <f t="shared" si="56"/>
        <v>0</v>
      </c>
      <c r="J72" s="181">
        <f t="shared" si="57"/>
        <v>26.5</v>
      </c>
      <c r="K72" s="181">
        <f t="shared" si="58"/>
        <v>26.5</v>
      </c>
      <c r="L72" s="181">
        <f t="shared" si="59"/>
        <v>26.5</v>
      </c>
      <c r="M72" s="181">
        <f t="shared" si="60"/>
        <v>26.5</v>
      </c>
      <c r="N72" s="181">
        <f t="shared" si="61"/>
        <v>26.5</v>
      </c>
      <c r="O72" s="181">
        <f t="shared" si="62"/>
        <v>26.5</v>
      </c>
      <c r="P72" s="181">
        <f t="shared" si="63"/>
        <v>26.5</v>
      </c>
      <c r="Q72" s="181">
        <f t="shared" si="64"/>
        <v>26.5</v>
      </c>
      <c r="R72" s="168">
        <f t="shared" si="65"/>
        <v>0</v>
      </c>
      <c r="S72" s="161">
        <f t="shared" si="66"/>
        <v>3.2277397260270377</v>
      </c>
      <c r="T72" s="161">
        <f t="shared" si="67"/>
        <v>36.65012492461446</v>
      </c>
      <c r="U72" s="161">
        <f t="shared" si="68"/>
        <v>36.65012492461446</v>
      </c>
      <c r="V72" s="154">
        <f t="shared" si="69"/>
        <v>0</v>
      </c>
      <c r="W72" s="154">
        <f t="shared" si="70"/>
        <v>0.64554794520547942</v>
      </c>
      <c r="X72" s="154">
        <f t="shared" si="71"/>
        <v>0.64554794520547942</v>
      </c>
      <c r="Y72" s="154">
        <f t="shared" si="72"/>
        <v>0.64554794520547942</v>
      </c>
      <c r="Z72" s="154">
        <f t="shared" si="321"/>
        <v>0</v>
      </c>
      <c r="AA72" s="154">
        <f t="shared" si="322"/>
        <v>1.0000000000000001E-53</v>
      </c>
      <c r="AB72" s="154">
        <f t="shared" si="323"/>
        <v>0.64554794520547942</v>
      </c>
      <c r="AC72" s="154">
        <f t="shared" si="324"/>
        <v>0.64554794520547942</v>
      </c>
      <c r="AD72" s="154">
        <f t="shared" si="325"/>
        <v>0</v>
      </c>
      <c r="AE72" s="154">
        <f t="shared" si="326"/>
        <v>0</v>
      </c>
      <c r="AF72" s="154">
        <f t="shared" si="327"/>
        <v>0</v>
      </c>
      <c r="AG72" s="154">
        <f t="shared" si="75"/>
        <v>0</v>
      </c>
      <c r="AH72" s="154">
        <f t="shared" si="76"/>
        <v>0</v>
      </c>
      <c r="AI72" s="154">
        <f t="shared" si="77"/>
        <v>0.58732876712328763</v>
      </c>
      <c r="AJ72" s="154">
        <f t="shared" si="78"/>
        <v>5.8219178082191785E-2</v>
      </c>
      <c r="AK72" s="154">
        <f t="shared" si="79"/>
        <v>0</v>
      </c>
      <c r="AL72" s="161">
        <f t="shared" si="80"/>
        <v>587.32876712328766</v>
      </c>
      <c r="AM72" s="161">
        <f t="shared" si="81"/>
        <v>58.219178082191782</v>
      </c>
      <c r="AN72" s="161">
        <f t="shared" si="82"/>
        <v>0</v>
      </c>
      <c r="AO72" s="161"/>
      <c r="AP72" s="154">
        <f t="shared" si="83"/>
        <v>0.64554794520547942</v>
      </c>
      <c r="AQ72" s="154">
        <f t="shared" si="84"/>
        <v>0.64554794520547942</v>
      </c>
      <c r="AR72" s="154">
        <f t="shared" si="85"/>
        <v>0</v>
      </c>
      <c r="AS72" s="161"/>
      <c r="AT72" s="161"/>
      <c r="AU72" s="161"/>
      <c r="AV72" s="161"/>
      <c r="AW72" s="181"/>
      <c r="AX72" s="181"/>
      <c r="AY72" s="181"/>
      <c r="AZ72" s="181"/>
      <c r="BA72" s="181"/>
      <c r="BB72" s="161"/>
      <c r="BC72" s="161"/>
      <c r="BD72" s="161"/>
      <c r="BE72" s="181"/>
      <c r="BF72" s="168"/>
      <c r="BG72" s="181"/>
      <c r="BH72" s="168"/>
      <c r="BI72" s="168"/>
      <c r="BJ72" s="161"/>
      <c r="BK72" s="168"/>
      <c r="BL72" s="168"/>
      <c r="BM72" s="168"/>
      <c r="BN72" s="168"/>
      <c r="BO72" s="168">
        <f t="shared" si="335"/>
        <v>2.9366438356161111</v>
      </c>
      <c r="BP72" s="168">
        <f t="shared" si="336"/>
        <v>0.29109589041092648</v>
      </c>
      <c r="BQ72" s="168">
        <f t="shared" si="337"/>
        <v>0</v>
      </c>
      <c r="BR72" s="181"/>
      <c r="BS72" s="161"/>
      <c r="BT72" s="168"/>
      <c r="BU72" s="161"/>
      <c r="BV72" s="161"/>
      <c r="BW72" s="161"/>
      <c r="BX72" s="161"/>
      <c r="CB72" s="181">
        <f t="shared" si="453"/>
        <v>414.11787706151534</v>
      </c>
      <c r="CC72" s="181">
        <f t="shared" si="453"/>
        <v>0</v>
      </c>
      <c r="CD72" s="181">
        <f t="shared" si="453"/>
        <v>484.0261664168454</v>
      </c>
      <c r="CE72" s="181">
        <f t="shared" si="453"/>
        <v>0</v>
      </c>
      <c r="CF72" s="181">
        <f t="shared" si="453"/>
        <v>1610.0792563719936</v>
      </c>
      <c r="CG72" s="181">
        <f t="shared" si="453"/>
        <v>0</v>
      </c>
      <c r="CH72" s="181">
        <f t="shared" si="453"/>
        <v>484.65888035987405</v>
      </c>
      <c r="CI72" s="181">
        <f t="shared" si="453"/>
        <v>0</v>
      </c>
      <c r="CJ72" s="182">
        <f t="shared" si="338"/>
        <v>2992.8821802102284</v>
      </c>
      <c r="CK72" s="161">
        <f t="shared" si="339"/>
        <v>2992.8821802102284</v>
      </c>
      <c r="CL72" s="161">
        <f t="shared" si="243"/>
        <v>529.19999999999993</v>
      </c>
      <c r="CM72" s="182">
        <f t="shared" si="340"/>
        <v>3522.0821802102282</v>
      </c>
      <c r="CN72" s="157">
        <f t="shared" si="341"/>
        <v>14.964410901049476</v>
      </c>
      <c r="CO72" s="162">
        <f t="shared" si="342"/>
        <v>3522.0821802102282</v>
      </c>
      <c r="FT72" s="168">
        <f t="shared" si="244"/>
        <v>2.5</v>
      </c>
      <c r="FU72" s="161">
        <f t="shared" si="245"/>
        <v>350</v>
      </c>
      <c r="FV72" s="161">
        <f t="shared" si="343"/>
        <v>525</v>
      </c>
      <c r="FW72" s="161">
        <f t="shared" si="344"/>
        <v>875</v>
      </c>
      <c r="FX72" s="161">
        <v>313.00000000000102</v>
      </c>
      <c r="FY72" s="168">
        <f t="shared" si="345"/>
        <v>2.5</v>
      </c>
      <c r="FZ72" s="161">
        <v>3.499999999999992E-9</v>
      </c>
      <c r="GA72" s="161">
        <v>5.2499999999999883E-9</v>
      </c>
      <c r="GB72" s="161">
        <v>8.7499999999999807E-9</v>
      </c>
      <c r="GC72" s="168">
        <f t="shared" si="246"/>
        <v>0.56785714285714284</v>
      </c>
      <c r="GD72" s="154">
        <f t="shared" si="97"/>
        <v>26.5</v>
      </c>
      <c r="GE72" s="181">
        <f t="shared" si="346"/>
        <v>26.5</v>
      </c>
      <c r="GF72" s="181">
        <f t="shared" si="347"/>
        <v>26.5</v>
      </c>
      <c r="GG72" s="154">
        <f t="shared" si="99"/>
        <v>26.5</v>
      </c>
      <c r="GH72" s="181">
        <f t="shared" si="348"/>
        <v>26.5</v>
      </c>
      <c r="GI72" s="181">
        <f t="shared" si="349"/>
        <v>26.500000000137579</v>
      </c>
      <c r="GJ72" s="181">
        <f t="shared" si="102"/>
        <v>26.500000000137579</v>
      </c>
      <c r="GK72" s="181">
        <f t="shared" si="103"/>
        <v>26.5</v>
      </c>
      <c r="GL72" s="157">
        <f t="shared" si="350"/>
        <v>0</v>
      </c>
      <c r="GM72" s="157">
        <f t="shared" si="105"/>
        <v>0</v>
      </c>
      <c r="GN72" s="157">
        <f t="shared" si="106"/>
        <v>0</v>
      </c>
      <c r="GO72" s="157">
        <f t="shared" si="107"/>
        <v>0</v>
      </c>
      <c r="GP72" s="157">
        <f t="shared" si="108"/>
        <v>0</v>
      </c>
      <c r="GQ72" s="157">
        <f t="shared" si="109"/>
        <v>3522.0821802102282</v>
      </c>
      <c r="GR72" s="157">
        <f t="shared" si="351"/>
        <v>0</v>
      </c>
      <c r="GS72" s="200">
        <f t="shared" si="352"/>
        <v>2.8392296057677776E-54</v>
      </c>
      <c r="GT72" s="157">
        <f t="shared" si="353"/>
        <v>1.0000000000000001E-50</v>
      </c>
      <c r="GU72" s="157">
        <f t="shared" si="354"/>
        <v>645.54794520547944</v>
      </c>
      <c r="GV72" s="162">
        <f t="shared" si="114"/>
        <v>645.54794520547944</v>
      </c>
      <c r="GW72" s="157">
        <f t="shared" si="355"/>
        <v>645.54794520547944</v>
      </c>
      <c r="GX72" s="157">
        <f t="shared" si="247"/>
        <v>0</v>
      </c>
      <c r="GY72" s="207">
        <f t="shared" si="356"/>
        <v>258.21917808219177</v>
      </c>
      <c r="GZ72" s="207">
        <f t="shared" si="116"/>
        <v>0</v>
      </c>
      <c r="HA72" s="157">
        <f t="shared" si="117"/>
        <v>3.499999999999991E-10</v>
      </c>
      <c r="HB72" s="157">
        <f t="shared" si="357"/>
        <v>5.249999999999987E-10</v>
      </c>
      <c r="HC72" s="157">
        <f t="shared" si="358"/>
        <v>8.749999999999977E-10</v>
      </c>
      <c r="HD72" s="168">
        <f t="shared" si="359"/>
        <v>1.0955000000000008E-10</v>
      </c>
      <c r="HE72" s="168">
        <f t="shared" si="360"/>
        <v>1.6432500000000013E-10</v>
      </c>
      <c r="HF72" s="168">
        <f t="shared" si="361"/>
        <v>2.7387500000000015E-10</v>
      </c>
      <c r="HG72" s="157">
        <f t="shared" si="119"/>
        <v>645.54794520460439</v>
      </c>
      <c r="HH72" s="168">
        <f t="shared" si="362"/>
        <v>0</v>
      </c>
      <c r="HI72" s="168">
        <f t="shared" si="363"/>
        <v>3.1300000000000107E-51</v>
      </c>
      <c r="HJ72" s="168">
        <f t="shared" si="364"/>
        <v>202.05650684931572</v>
      </c>
      <c r="HK72" s="168">
        <f t="shared" si="123"/>
        <v>202.05650684904182</v>
      </c>
      <c r="HL72" s="168">
        <f t="shared" si="124"/>
        <v>202.05650684931572</v>
      </c>
      <c r="HM72" s="157">
        <f t="shared" si="125"/>
        <v>8.7500140466545417E-9</v>
      </c>
      <c r="HN72" s="168">
        <f t="shared" si="365"/>
        <v>1.6432500000000013E-10</v>
      </c>
      <c r="HP72" s="168">
        <f t="shared" si="366"/>
        <v>0</v>
      </c>
      <c r="HQ72" s="168">
        <f t="shared" si="367"/>
        <v>0</v>
      </c>
      <c r="HR72" s="181"/>
      <c r="HU72" s="168">
        <f t="shared" ref="HU72:HV72" si="532">HU71</f>
        <v>2.5</v>
      </c>
      <c r="HV72" s="161">
        <f t="shared" si="532"/>
        <v>350</v>
      </c>
      <c r="HW72" s="161">
        <f t="shared" si="369"/>
        <v>525</v>
      </c>
      <c r="HX72" s="161">
        <f t="shared" si="370"/>
        <v>875</v>
      </c>
      <c r="HY72" s="161">
        <v>313.00000000000102</v>
      </c>
      <c r="HZ72" s="168">
        <f t="shared" si="371"/>
        <v>2.5</v>
      </c>
      <c r="IA72" s="161">
        <v>0</v>
      </c>
      <c r="IB72" s="161">
        <v>0</v>
      </c>
      <c r="IC72" s="161">
        <v>0</v>
      </c>
      <c r="ID72" s="168">
        <f t="shared" ref="ID72" si="533">ID71</f>
        <v>0.56785714285714284</v>
      </c>
      <c r="IE72" s="154">
        <f t="shared" si="130"/>
        <v>26.5</v>
      </c>
      <c r="IF72" s="154">
        <f t="shared" si="131"/>
        <v>26.5</v>
      </c>
      <c r="IG72" s="181">
        <f t="shared" si="373"/>
        <v>26.5</v>
      </c>
      <c r="IH72" s="181">
        <f t="shared" si="374"/>
        <v>26.5</v>
      </c>
      <c r="II72" s="181">
        <f t="shared" si="375"/>
        <v>26.5</v>
      </c>
      <c r="IJ72" s="181">
        <f t="shared" si="376"/>
        <v>26.5</v>
      </c>
      <c r="IK72" s="181">
        <f t="shared" si="377"/>
        <v>26.5</v>
      </c>
      <c r="IL72" s="181">
        <f t="shared" si="250"/>
        <v>0</v>
      </c>
      <c r="IM72" s="181">
        <f t="shared" si="137"/>
        <v>26.5</v>
      </c>
      <c r="IN72" s="157">
        <f t="shared" si="378"/>
        <v>0</v>
      </c>
      <c r="IO72" s="157">
        <f t="shared" si="139"/>
        <v>0</v>
      </c>
      <c r="IP72" s="157">
        <f t="shared" si="42"/>
        <v>0</v>
      </c>
      <c r="IQ72" s="157">
        <f t="shared" si="43"/>
        <v>0</v>
      </c>
      <c r="IR72" s="157">
        <f t="shared" si="140"/>
        <v>0</v>
      </c>
      <c r="IS72" s="157">
        <f t="shared" si="141"/>
        <v>3522.0821802102282</v>
      </c>
      <c r="IT72" s="157">
        <f t="shared" si="379"/>
        <v>0</v>
      </c>
      <c r="IU72" s="200">
        <f t="shared" si="380"/>
        <v>2.8392296057677776E-54</v>
      </c>
      <c r="IV72" s="157">
        <f t="shared" si="381"/>
        <v>1.0000000000000001E-50</v>
      </c>
      <c r="IW72" s="157">
        <f t="shared" si="382"/>
        <v>645.54794520547944</v>
      </c>
      <c r="IX72" s="162">
        <f t="shared" si="146"/>
        <v>645.54794520547944</v>
      </c>
      <c r="IY72" s="157">
        <f t="shared" si="22"/>
        <v>645.54794520547944</v>
      </c>
      <c r="IZ72" s="157">
        <f t="shared" si="147"/>
        <v>0</v>
      </c>
      <c r="JA72" s="207">
        <f t="shared" si="383"/>
        <v>258.21917808219177</v>
      </c>
      <c r="JB72" s="207">
        <f t="shared" si="149"/>
        <v>0</v>
      </c>
      <c r="JC72" s="157">
        <f t="shared" si="150"/>
        <v>0</v>
      </c>
      <c r="JD72" s="157">
        <f t="shared" si="384"/>
        <v>0</v>
      </c>
      <c r="JE72" s="157">
        <f t="shared" si="385"/>
        <v>0</v>
      </c>
      <c r="JF72" s="168">
        <f t="shared" si="386"/>
        <v>0</v>
      </c>
      <c r="JG72" s="168">
        <f t="shared" si="387"/>
        <v>0</v>
      </c>
      <c r="JH72" s="168">
        <f t="shared" si="388"/>
        <v>0</v>
      </c>
      <c r="JI72" s="157">
        <f t="shared" si="156"/>
        <v>645.54794520547944</v>
      </c>
      <c r="JJ72" s="168">
        <f t="shared" si="389"/>
        <v>0</v>
      </c>
      <c r="JK72" s="168">
        <f t="shared" si="390"/>
        <v>3.1300000000000107E-51</v>
      </c>
      <c r="JL72" s="168">
        <f t="shared" si="391"/>
        <v>202.05650684931572</v>
      </c>
      <c r="JM72" s="168">
        <f t="shared" si="160"/>
        <v>202.05650684931572</v>
      </c>
      <c r="JN72" s="168">
        <f t="shared" si="161"/>
        <v>202.05650684931572</v>
      </c>
      <c r="JO72" s="157">
        <f t="shared" si="162"/>
        <v>0</v>
      </c>
      <c r="JP72" s="168">
        <f t="shared" si="392"/>
        <v>0</v>
      </c>
      <c r="JR72" s="168">
        <f t="shared" si="393"/>
        <v>0</v>
      </c>
      <c r="JS72" s="168">
        <f t="shared" si="394"/>
        <v>0</v>
      </c>
      <c r="JT72" s="181"/>
      <c r="JW72" s="168">
        <f t="shared" ref="JW72:JX72" si="534">JW71</f>
        <v>2.5</v>
      </c>
      <c r="JX72" s="161">
        <f t="shared" si="534"/>
        <v>350</v>
      </c>
      <c r="JY72" s="161">
        <f t="shared" si="396"/>
        <v>525</v>
      </c>
      <c r="JZ72" s="161">
        <f t="shared" si="397"/>
        <v>875</v>
      </c>
      <c r="KA72" s="161">
        <v>313.00000000000102</v>
      </c>
      <c r="KB72" s="168">
        <f t="shared" si="398"/>
        <v>2.5</v>
      </c>
      <c r="KC72" s="161">
        <v>0</v>
      </c>
      <c r="KD72" s="161">
        <v>0</v>
      </c>
      <c r="KE72" s="161">
        <v>0</v>
      </c>
      <c r="KF72" s="168">
        <f t="shared" ref="KF72" si="535">KF71</f>
        <v>0.56785714285714284</v>
      </c>
      <c r="KG72" s="154">
        <f t="shared" si="167"/>
        <v>26.5</v>
      </c>
      <c r="KH72" s="154">
        <f t="shared" si="168"/>
        <v>26.5</v>
      </c>
      <c r="KI72" s="181">
        <f t="shared" si="400"/>
        <v>26.5</v>
      </c>
      <c r="KJ72" s="181">
        <f t="shared" si="401"/>
        <v>26.5</v>
      </c>
      <c r="KK72" s="181">
        <f t="shared" si="402"/>
        <v>26.5</v>
      </c>
      <c r="KL72" s="181">
        <f t="shared" si="403"/>
        <v>26.5</v>
      </c>
      <c r="KM72" s="181">
        <f t="shared" si="404"/>
        <v>26.5</v>
      </c>
      <c r="KN72" s="181">
        <f t="shared" si="253"/>
        <v>0</v>
      </c>
      <c r="KO72" s="181">
        <f t="shared" si="174"/>
        <v>26.5</v>
      </c>
      <c r="KP72" s="157">
        <f t="shared" si="405"/>
        <v>0</v>
      </c>
      <c r="KQ72" s="157">
        <f t="shared" si="46"/>
        <v>0</v>
      </c>
      <c r="KR72" s="157">
        <f t="shared" si="406"/>
        <v>0</v>
      </c>
      <c r="KS72" s="157">
        <f t="shared" si="407"/>
        <v>0</v>
      </c>
      <c r="KT72" s="157">
        <f t="shared" si="178"/>
        <v>0</v>
      </c>
      <c r="KU72" s="157">
        <f t="shared" si="179"/>
        <v>3522.0821802102282</v>
      </c>
      <c r="KV72" s="157">
        <f t="shared" si="408"/>
        <v>0</v>
      </c>
      <c r="KW72" s="200">
        <f t="shared" si="409"/>
        <v>2.8392296057677776E-54</v>
      </c>
      <c r="KX72" s="157">
        <f t="shared" si="410"/>
        <v>1.0000000000000001E-50</v>
      </c>
      <c r="KY72" s="157">
        <f t="shared" si="411"/>
        <v>645.54794520547944</v>
      </c>
      <c r="KZ72" s="162">
        <f t="shared" si="47"/>
        <v>645.54794520547944</v>
      </c>
      <c r="LA72" s="157">
        <f t="shared" si="184"/>
        <v>645.54794520547944</v>
      </c>
      <c r="LB72" s="157">
        <f t="shared" si="185"/>
        <v>0</v>
      </c>
      <c r="LC72" s="207">
        <f t="shared" si="412"/>
        <v>258.21917808219177</v>
      </c>
      <c r="LD72" s="207">
        <f t="shared" si="187"/>
        <v>0</v>
      </c>
      <c r="LE72" s="157">
        <f t="shared" si="188"/>
        <v>0</v>
      </c>
      <c r="LF72" s="157">
        <f t="shared" si="413"/>
        <v>0</v>
      </c>
      <c r="LG72" s="157">
        <f t="shared" si="414"/>
        <v>0</v>
      </c>
      <c r="LH72" s="168">
        <f t="shared" si="415"/>
        <v>0</v>
      </c>
      <c r="LI72" s="168">
        <f t="shared" si="416"/>
        <v>0</v>
      </c>
      <c r="LJ72" s="168">
        <f t="shared" si="417"/>
        <v>0</v>
      </c>
      <c r="LK72" s="157">
        <f t="shared" si="194"/>
        <v>645.54794520547944</v>
      </c>
      <c r="LL72" s="168">
        <f t="shared" si="418"/>
        <v>0</v>
      </c>
      <c r="LM72" s="168">
        <f t="shared" si="419"/>
        <v>3.1300000000000107E-51</v>
      </c>
      <c r="LN72" s="168">
        <f t="shared" si="420"/>
        <v>202.05650684931572</v>
      </c>
      <c r="LO72" s="168">
        <f t="shared" si="198"/>
        <v>202.05650684931572</v>
      </c>
      <c r="LP72" s="168">
        <f t="shared" si="199"/>
        <v>202.05650684931572</v>
      </c>
      <c r="LQ72" s="157">
        <f t="shared" si="200"/>
        <v>0</v>
      </c>
      <c r="LR72" s="168">
        <f t="shared" si="421"/>
        <v>0</v>
      </c>
      <c r="LT72" s="168">
        <f t="shared" si="422"/>
        <v>0</v>
      </c>
      <c r="LU72" s="168">
        <f t="shared" si="423"/>
        <v>0</v>
      </c>
      <c r="LV72" s="181"/>
      <c r="LY72" s="168">
        <f t="shared" ref="LY72:LZ72" si="536">LY71</f>
        <v>2.5</v>
      </c>
      <c r="LZ72" s="161">
        <f t="shared" si="536"/>
        <v>350</v>
      </c>
      <c r="MA72" s="161">
        <f t="shared" si="425"/>
        <v>525</v>
      </c>
      <c r="MB72" s="161">
        <f t="shared" si="426"/>
        <v>875</v>
      </c>
      <c r="MC72" s="161">
        <v>313.00000000000102</v>
      </c>
      <c r="MD72" s="168">
        <f t="shared" si="427"/>
        <v>2.5</v>
      </c>
      <c r="ME72" s="161">
        <v>0</v>
      </c>
      <c r="MF72" s="161">
        <v>0</v>
      </c>
      <c r="MG72" s="161">
        <v>0</v>
      </c>
      <c r="MH72" s="168">
        <f t="shared" ref="MH72" si="537">MH71</f>
        <v>0.56785714285714284</v>
      </c>
      <c r="MI72" s="154">
        <f t="shared" si="205"/>
        <v>26.5</v>
      </c>
      <c r="MJ72" s="181">
        <f t="shared" si="429"/>
        <v>26.5</v>
      </c>
      <c r="MK72" s="181">
        <f t="shared" si="430"/>
        <v>26.5</v>
      </c>
      <c r="ML72" s="154">
        <f t="shared" si="208"/>
        <v>26.5</v>
      </c>
      <c r="MM72" s="181">
        <f t="shared" si="431"/>
        <v>26.5</v>
      </c>
      <c r="MN72" s="181">
        <f t="shared" si="432"/>
        <v>26.5</v>
      </c>
      <c r="MO72" s="181">
        <f t="shared" si="433"/>
        <v>26.5</v>
      </c>
      <c r="MP72" s="181">
        <f t="shared" si="212"/>
        <v>26.5</v>
      </c>
      <c r="MQ72" s="157">
        <f t="shared" si="434"/>
        <v>0</v>
      </c>
      <c r="MR72" s="157">
        <f t="shared" si="213"/>
        <v>0</v>
      </c>
      <c r="MS72" s="157">
        <f t="shared" si="435"/>
        <v>0</v>
      </c>
      <c r="MT72" s="157">
        <f t="shared" si="436"/>
        <v>0</v>
      </c>
      <c r="MU72" s="157">
        <f t="shared" si="216"/>
        <v>0</v>
      </c>
      <c r="MV72" s="157">
        <f t="shared" si="217"/>
        <v>3522.0821802102282</v>
      </c>
      <c r="MW72" s="157">
        <f t="shared" si="437"/>
        <v>0</v>
      </c>
      <c r="MX72" s="200">
        <f t="shared" si="438"/>
        <v>2.8392296057677776E-54</v>
      </c>
      <c r="MY72" s="157">
        <f t="shared" si="439"/>
        <v>1.0000000000000001E-50</v>
      </c>
      <c r="MZ72" s="157">
        <f t="shared" si="440"/>
        <v>645.54794520547944</v>
      </c>
      <c r="NA72" s="162">
        <f t="shared" si="222"/>
        <v>645.54794520547944</v>
      </c>
      <c r="NB72" s="157">
        <f t="shared" si="223"/>
        <v>645.54794520547944</v>
      </c>
      <c r="NC72" s="157">
        <f t="shared" si="224"/>
        <v>0</v>
      </c>
      <c r="ND72" s="207">
        <f t="shared" si="441"/>
        <v>258.21917808219177</v>
      </c>
      <c r="NE72" s="207">
        <f t="shared" si="225"/>
        <v>0</v>
      </c>
      <c r="NF72" s="157">
        <f t="shared" si="226"/>
        <v>0</v>
      </c>
      <c r="NG72" s="157">
        <f t="shared" si="442"/>
        <v>0</v>
      </c>
      <c r="NH72" s="157">
        <f t="shared" si="443"/>
        <v>0</v>
      </c>
      <c r="NI72" s="168">
        <f t="shared" si="444"/>
        <v>0</v>
      </c>
      <c r="NJ72" s="168">
        <f t="shared" si="445"/>
        <v>0</v>
      </c>
      <c r="NK72" s="168">
        <f t="shared" si="446"/>
        <v>0</v>
      </c>
      <c r="NL72" s="157">
        <f t="shared" si="230"/>
        <v>645.54794520547944</v>
      </c>
      <c r="NM72" s="168">
        <f t="shared" si="447"/>
        <v>0</v>
      </c>
      <c r="NN72" s="168">
        <f t="shared" si="448"/>
        <v>3.1300000000000107E-51</v>
      </c>
      <c r="NO72" s="168">
        <f t="shared" si="449"/>
        <v>202.05650684931572</v>
      </c>
      <c r="NP72" s="168">
        <f t="shared" si="234"/>
        <v>202.05650684931572</v>
      </c>
      <c r="NQ72" s="168">
        <f t="shared" si="235"/>
        <v>202.05650684931572</v>
      </c>
      <c r="NR72" s="157">
        <f t="shared" si="236"/>
        <v>0</v>
      </c>
      <c r="NS72" s="168">
        <f t="shared" si="450"/>
        <v>0</v>
      </c>
      <c r="NT72" s="157">
        <f t="shared" si="319"/>
        <v>645.54794520547944</v>
      </c>
      <c r="NU72" s="168">
        <f t="shared" si="451"/>
        <v>0</v>
      </c>
      <c r="NV72" s="168">
        <f t="shared" si="452"/>
        <v>0</v>
      </c>
      <c r="NX72" s="157"/>
      <c r="NY72" s="157"/>
      <c r="NZ72" s="157"/>
      <c r="OA72" s="157"/>
      <c r="OB72" s="157"/>
    </row>
    <row r="73" spans="1:392" ht="13" x14ac:dyDescent="0.3">
      <c r="A73" s="154">
        <v>99.942922374429216</v>
      </c>
      <c r="B73" s="154">
        <v>27.5</v>
      </c>
      <c r="C73" s="154">
        <f t="shared" si="320"/>
        <v>27.5</v>
      </c>
      <c r="D73" s="154">
        <v>1634.5</v>
      </c>
      <c r="E73" s="200">
        <f t="shared" si="332"/>
        <v>544.83333333334883</v>
      </c>
      <c r="F73" s="181">
        <f t="shared" si="333"/>
        <v>0</v>
      </c>
      <c r="G73" s="161">
        <f t="shared" si="334"/>
        <v>2.9999999999999147</v>
      </c>
      <c r="H73" s="154">
        <f t="shared" si="55"/>
        <v>0</v>
      </c>
      <c r="I73" s="161">
        <f t="shared" si="56"/>
        <v>0</v>
      </c>
      <c r="J73" s="181">
        <f t="shared" si="57"/>
        <v>27.5</v>
      </c>
      <c r="K73" s="181">
        <f t="shared" si="58"/>
        <v>27.5</v>
      </c>
      <c r="L73" s="181">
        <f t="shared" si="59"/>
        <v>27.5</v>
      </c>
      <c r="M73" s="181">
        <f t="shared" si="60"/>
        <v>27.5</v>
      </c>
      <c r="N73" s="181">
        <f t="shared" si="61"/>
        <v>27.5</v>
      </c>
      <c r="O73" s="181">
        <f t="shared" si="62"/>
        <v>27.5</v>
      </c>
      <c r="P73" s="181">
        <f t="shared" si="63"/>
        <v>27.5</v>
      </c>
      <c r="Q73" s="181">
        <f t="shared" si="64"/>
        <v>27.5</v>
      </c>
      <c r="R73" s="168">
        <f t="shared" si="65"/>
        <v>0</v>
      </c>
      <c r="S73" s="161">
        <f t="shared" si="66"/>
        <v>1.9366438356163833</v>
      </c>
      <c r="T73" s="161">
        <f t="shared" si="67"/>
        <v>37.65012492461446</v>
      </c>
      <c r="U73" s="161">
        <f t="shared" si="68"/>
        <v>37.65012492461446</v>
      </c>
      <c r="V73" s="154">
        <f t="shared" si="69"/>
        <v>0</v>
      </c>
      <c r="W73" s="154">
        <f t="shared" si="70"/>
        <v>0.64554794520547942</v>
      </c>
      <c r="X73" s="154">
        <f t="shared" si="71"/>
        <v>0.64554794520547942</v>
      </c>
      <c r="Y73" s="154">
        <f t="shared" si="72"/>
        <v>0.64554794520547942</v>
      </c>
      <c r="Z73" s="154">
        <f t="shared" si="321"/>
        <v>0</v>
      </c>
      <c r="AA73" s="154">
        <f t="shared" si="322"/>
        <v>1E-53</v>
      </c>
      <c r="AB73" s="154">
        <f t="shared" si="323"/>
        <v>0.64554794520547942</v>
      </c>
      <c r="AC73" s="154">
        <f t="shared" si="324"/>
        <v>0.64554794520547942</v>
      </c>
      <c r="AD73" s="154">
        <f t="shared" si="325"/>
        <v>0</v>
      </c>
      <c r="AE73" s="154">
        <f t="shared" si="326"/>
        <v>0</v>
      </c>
      <c r="AF73" s="154">
        <f t="shared" si="327"/>
        <v>0</v>
      </c>
      <c r="AG73" s="154">
        <f t="shared" si="75"/>
        <v>0</v>
      </c>
      <c r="AH73" s="154">
        <f t="shared" si="76"/>
        <v>0</v>
      </c>
      <c r="AI73" s="154">
        <f t="shared" si="77"/>
        <v>0.58732876712328763</v>
      </c>
      <c r="AJ73" s="154">
        <f t="shared" si="78"/>
        <v>5.8219178082191785E-2</v>
      </c>
      <c r="AK73" s="154">
        <f t="shared" si="79"/>
        <v>0</v>
      </c>
      <c r="AL73" s="161">
        <f t="shared" si="80"/>
        <v>587.32876712328766</v>
      </c>
      <c r="AM73" s="161">
        <f t="shared" si="81"/>
        <v>58.219178082191782</v>
      </c>
      <c r="AN73" s="161">
        <f t="shared" si="82"/>
        <v>0</v>
      </c>
      <c r="AO73" s="161"/>
      <c r="AP73" s="154">
        <f t="shared" si="83"/>
        <v>0.64554794520547942</v>
      </c>
      <c r="AQ73" s="154">
        <f t="shared" si="84"/>
        <v>0.64554794520547942</v>
      </c>
      <c r="AR73" s="154">
        <f t="shared" si="85"/>
        <v>0</v>
      </c>
      <c r="AS73" s="161"/>
      <c r="AT73" s="161"/>
      <c r="AU73" s="161"/>
      <c r="AV73" s="161"/>
      <c r="AW73" s="181"/>
      <c r="AX73" s="181"/>
      <c r="AY73" s="181"/>
      <c r="AZ73" s="181"/>
      <c r="BA73" s="181"/>
      <c r="BB73" s="161"/>
      <c r="BC73" s="161"/>
      <c r="BD73" s="161"/>
      <c r="BE73" s="181"/>
      <c r="BF73" s="168"/>
      <c r="BG73" s="181"/>
      <c r="BH73" s="168"/>
      <c r="BI73" s="168"/>
      <c r="BJ73" s="161"/>
      <c r="BK73" s="168"/>
      <c r="BL73" s="168"/>
      <c r="BM73" s="168"/>
      <c r="BN73" s="168"/>
      <c r="BO73" s="168">
        <f t="shared" si="335"/>
        <v>1.7619863013698127</v>
      </c>
      <c r="BP73" s="168">
        <f t="shared" si="336"/>
        <v>0.17465753424657038</v>
      </c>
      <c r="BQ73" s="168">
        <f t="shared" si="337"/>
        <v>0</v>
      </c>
      <c r="BR73" s="181"/>
      <c r="BS73" s="161"/>
      <c r="BT73" s="168"/>
      <c r="BU73" s="161"/>
      <c r="BV73" s="161"/>
      <c r="BW73" s="161"/>
      <c r="BX73" s="161"/>
      <c r="CB73" s="181">
        <f t="shared" si="453"/>
        <v>499.61298350825996</v>
      </c>
      <c r="CC73" s="181">
        <f t="shared" si="453"/>
        <v>0</v>
      </c>
      <c r="CD73" s="181">
        <f t="shared" si="453"/>
        <v>583.95391866568377</v>
      </c>
      <c r="CE73" s="181">
        <f t="shared" si="453"/>
        <v>0</v>
      </c>
      <c r="CF73" s="181">
        <f t="shared" si="453"/>
        <v>1942.4819490255422</v>
      </c>
      <c r="CG73" s="181">
        <f t="shared" si="453"/>
        <v>0</v>
      </c>
      <c r="CH73" s="181">
        <f t="shared" si="453"/>
        <v>584.71725712145599</v>
      </c>
      <c r="CI73" s="181">
        <f t="shared" si="453"/>
        <v>0</v>
      </c>
      <c r="CJ73" s="182">
        <f t="shared" si="338"/>
        <v>3610.7661083209418</v>
      </c>
      <c r="CK73" s="161">
        <f t="shared" si="339"/>
        <v>3610.7661083209418</v>
      </c>
      <c r="CL73" s="161">
        <f t="shared" si="243"/>
        <v>529.19999999999993</v>
      </c>
      <c r="CM73" s="182">
        <f t="shared" si="340"/>
        <v>4139.9661083209421</v>
      </c>
      <c r="CN73" s="157">
        <f t="shared" si="341"/>
        <v>10.832298324962517</v>
      </c>
      <c r="CO73" s="162">
        <f t="shared" si="342"/>
        <v>4139.9661083209421</v>
      </c>
      <c r="FT73" s="168">
        <f t="shared" si="244"/>
        <v>2.5</v>
      </c>
      <c r="FU73" s="161">
        <f t="shared" si="245"/>
        <v>350</v>
      </c>
      <c r="FV73" s="161">
        <f t="shared" si="343"/>
        <v>525</v>
      </c>
      <c r="FW73" s="161">
        <f t="shared" si="344"/>
        <v>875</v>
      </c>
      <c r="FX73" s="161">
        <v>314.00000000000102</v>
      </c>
      <c r="FY73" s="168">
        <f t="shared" si="345"/>
        <v>2.5</v>
      </c>
      <c r="FZ73" s="161">
        <v>3.499999999999992E-9</v>
      </c>
      <c r="GA73" s="161">
        <v>5.2499999999999883E-9</v>
      </c>
      <c r="GB73" s="161">
        <v>8.7499999999999807E-9</v>
      </c>
      <c r="GC73" s="168">
        <f t="shared" si="246"/>
        <v>0.56785714285714284</v>
      </c>
      <c r="GD73" s="154">
        <f t="shared" si="97"/>
        <v>27.5</v>
      </c>
      <c r="GE73" s="181">
        <f t="shared" si="346"/>
        <v>27.5</v>
      </c>
      <c r="GF73" s="181">
        <f t="shared" si="347"/>
        <v>27.5</v>
      </c>
      <c r="GG73" s="154">
        <f t="shared" si="99"/>
        <v>27.5</v>
      </c>
      <c r="GH73" s="181">
        <f t="shared" si="348"/>
        <v>27.5</v>
      </c>
      <c r="GI73" s="181">
        <f t="shared" si="349"/>
        <v>27.500000000137579</v>
      </c>
      <c r="GJ73" s="181">
        <f t="shared" si="102"/>
        <v>27.500000000137579</v>
      </c>
      <c r="GK73" s="181">
        <f t="shared" si="103"/>
        <v>27.5</v>
      </c>
      <c r="GL73" s="157">
        <f t="shared" si="350"/>
        <v>0</v>
      </c>
      <c r="GM73" s="157">
        <f t="shared" si="105"/>
        <v>0</v>
      </c>
      <c r="GN73" s="157">
        <f t="shared" si="106"/>
        <v>0</v>
      </c>
      <c r="GO73" s="157">
        <f t="shared" si="107"/>
        <v>0</v>
      </c>
      <c r="GP73" s="157">
        <f t="shared" si="108"/>
        <v>0</v>
      </c>
      <c r="GQ73" s="157">
        <f t="shared" si="109"/>
        <v>4139.9661083209421</v>
      </c>
      <c r="GR73" s="157">
        <f t="shared" si="351"/>
        <v>0</v>
      </c>
      <c r="GS73" s="200">
        <f t="shared" si="352"/>
        <v>2.4154787112631047E-54</v>
      </c>
      <c r="GT73" s="157">
        <f t="shared" si="353"/>
        <v>1E-50</v>
      </c>
      <c r="GU73" s="157">
        <f t="shared" si="354"/>
        <v>645.54794520547944</v>
      </c>
      <c r="GV73" s="162">
        <f t="shared" si="114"/>
        <v>645.54794520547944</v>
      </c>
      <c r="GW73" s="157">
        <f t="shared" si="355"/>
        <v>645.54794520547944</v>
      </c>
      <c r="GX73" s="157">
        <f t="shared" si="247"/>
        <v>0</v>
      </c>
      <c r="GY73" s="207">
        <f t="shared" si="356"/>
        <v>258.21917808219177</v>
      </c>
      <c r="GZ73" s="207">
        <f t="shared" si="116"/>
        <v>0</v>
      </c>
      <c r="HA73" s="157">
        <f t="shared" si="117"/>
        <v>3.499999999999991E-10</v>
      </c>
      <c r="HB73" s="157">
        <f t="shared" si="357"/>
        <v>5.249999999999987E-10</v>
      </c>
      <c r="HC73" s="157">
        <f t="shared" si="358"/>
        <v>8.749999999999977E-10</v>
      </c>
      <c r="HD73" s="168">
        <f t="shared" si="359"/>
        <v>1.0990000000000008E-10</v>
      </c>
      <c r="HE73" s="168">
        <f t="shared" si="360"/>
        <v>1.6485000000000011E-10</v>
      </c>
      <c r="HF73" s="168">
        <f t="shared" si="361"/>
        <v>2.7475000000000016E-10</v>
      </c>
      <c r="HG73" s="157">
        <f t="shared" si="119"/>
        <v>645.54794520460439</v>
      </c>
      <c r="HH73" s="168">
        <f t="shared" si="362"/>
        <v>0</v>
      </c>
      <c r="HI73" s="168">
        <f t="shared" si="363"/>
        <v>3.1400000000000101E-51</v>
      </c>
      <c r="HJ73" s="168">
        <f t="shared" si="364"/>
        <v>202.70205479452119</v>
      </c>
      <c r="HK73" s="168">
        <f t="shared" si="123"/>
        <v>202.70205479424644</v>
      </c>
      <c r="HL73" s="168">
        <f t="shared" si="124"/>
        <v>202.70205479452119</v>
      </c>
      <c r="HM73" s="157">
        <f t="shared" si="125"/>
        <v>8.7500140466545417E-9</v>
      </c>
      <c r="HN73" s="168">
        <f t="shared" si="365"/>
        <v>1.6485000000000011E-10</v>
      </c>
      <c r="HP73" s="168">
        <f t="shared" si="366"/>
        <v>0</v>
      </c>
      <c r="HQ73" s="168">
        <f t="shared" si="367"/>
        <v>0</v>
      </c>
      <c r="HR73" s="181"/>
      <c r="HU73" s="168">
        <f t="shared" ref="HU73:HV73" si="538">HU72</f>
        <v>2.5</v>
      </c>
      <c r="HV73" s="161">
        <f t="shared" si="538"/>
        <v>350</v>
      </c>
      <c r="HW73" s="161">
        <f t="shared" si="369"/>
        <v>525</v>
      </c>
      <c r="HX73" s="161">
        <f t="shared" si="370"/>
        <v>875</v>
      </c>
      <c r="HY73" s="161">
        <v>314.00000000000102</v>
      </c>
      <c r="HZ73" s="168">
        <f t="shared" si="371"/>
        <v>2.5</v>
      </c>
      <c r="IA73" s="161">
        <v>0</v>
      </c>
      <c r="IB73" s="161">
        <v>0</v>
      </c>
      <c r="IC73" s="161">
        <v>0</v>
      </c>
      <c r="ID73" s="168">
        <f t="shared" ref="ID73" si="539">ID72</f>
        <v>0.56785714285714284</v>
      </c>
      <c r="IE73" s="154">
        <f t="shared" si="130"/>
        <v>27.5</v>
      </c>
      <c r="IF73" s="154">
        <f t="shared" si="131"/>
        <v>27.5</v>
      </c>
      <c r="IG73" s="181">
        <f t="shared" si="373"/>
        <v>27.5</v>
      </c>
      <c r="IH73" s="181">
        <f t="shared" si="374"/>
        <v>27.5</v>
      </c>
      <c r="II73" s="181">
        <f t="shared" si="375"/>
        <v>27.5</v>
      </c>
      <c r="IJ73" s="181">
        <f t="shared" si="376"/>
        <v>27.5</v>
      </c>
      <c r="IK73" s="181">
        <f t="shared" si="377"/>
        <v>27.5</v>
      </c>
      <c r="IL73" s="181">
        <f t="shared" si="250"/>
        <v>0</v>
      </c>
      <c r="IM73" s="181">
        <f t="shared" si="137"/>
        <v>27.5</v>
      </c>
      <c r="IN73" s="157">
        <f t="shared" si="378"/>
        <v>0</v>
      </c>
      <c r="IO73" s="157">
        <f t="shared" si="139"/>
        <v>0</v>
      </c>
      <c r="IP73" s="157">
        <f t="shared" si="42"/>
        <v>0</v>
      </c>
      <c r="IQ73" s="157">
        <f t="shared" si="43"/>
        <v>0</v>
      </c>
      <c r="IR73" s="157">
        <f t="shared" si="140"/>
        <v>0</v>
      </c>
      <c r="IS73" s="157">
        <f t="shared" si="141"/>
        <v>4139.9661083209421</v>
      </c>
      <c r="IT73" s="157">
        <f t="shared" si="379"/>
        <v>0</v>
      </c>
      <c r="IU73" s="200">
        <f t="shared" si="380"/>
        <v>2.4154787112631047E-54</v>
      </c>
      <c r="IV73" s="157">
        <f t="shared" si="381"/>
        <v>1E-50</v>
      </c>
      <c r="IW73" s="157">
        <f t="shared" si="382"/>
        <v>645.54794520547944</v>
      </c>
      <c r="IX73" s="162">
        <f t="shared" si="146"/>
        <v>645.54794520547944</v>
      </c>
      <c r="IY73" s="157">
        <f t="shared" si="22"/>
        <v>645.54794520547944</v>
      </c>
      <c r="IZ73" s="157">
        <f t="shared" si="147"/>
        <v>0</v>
      </c>
      <c r="JA73" s="207">
        <f t="shared" si="383"/>
        <v>258.21917808219177</v>
      </c>
      <c r="JB73" s="207">
        <f t="shared" si="149"/>
        <v>0</v>
      </c>
      <c r="JC73" s="157">
        <f t="shared" si="150"/>
        <v>0</v>
      </c>
      <c r="JD73" s="157">
        <f t="shared" si="384"/>
        <v>0</v>
      </c>
      <c r="JE73" s="157">
        <f t="shared" si="385"/>
        <v>0</v>
      </c>
      <c r="JF73" s="168">
        <f t="shared" si="386"/>
        <v>0</v>
      </c>
      <c r="JG73" s="168">
        <f t="shared" si="387"/>
        <v>0</v>
      </c>
      <c r="JH73" s="168">
        <f t="shared" si="388"/>
        <v>0</v>
      </c>
      <c r="JI73" s="157">
        <f t="shared" si="156"/>
        <v>645.54794520547944</v>
      </c>
      <c r="JJ73" s="168">
        <f t="shared" si="389"/>
        <v>0</v>
      </c>
      <c r="JK73" s="168">
        <f t="shared" si="390"/>
        <v>3.1400000000000101E-51</v>
      </c>
      <c r="JL73" s="168">
        <f t="shared" si="391"/>
        <v>202.70205479452119</v>
      </c>
      <c r="JM73" s="168">
        <f t="shared" si="160"/>
        <v>202.70205479452119</v>
      </c>
      <c r="JN73" s="168">
        <f t="shared" si="161"/>
        <v>202.70205479452119</v>
      </c>
      <c r="JO73" s="157">
        <f t="shared" si="162"/>
        <v>0</v>
      </c>
      <c r="JP73" s="168">
        <f t="shared" si="392"/>
        <v>0</v>
      </c>
      <c r="JR73" s="168">
        <f t="shared" si="393"/>
        <v>0</v>
      </c>
      <c r="JS73" s="168">
        <f t="shared" si="394"/>
        <v>0</v>
      </c>
      <c r="JT73" s="181"/>
      <c r="JW73" s="168">
        <f t="shared" ref="JW73:JX73" si="540">JW72</f>
        <v>2.5</v>
      </c>
      <c r="JX73" s="161">
        <f t="shared" si="540"/>
        <v>350</v>
      </c>
      <c r="JY73" s="161">
        <f t="shared" si="396"/>
        <v>525</v>
      </c>
      <c r="JZ73" s="161">
        <f t="shared" si="397"/>
        <v>875</v>
      </c>
      <c r="KA73" s="161">
        <v>314.00000000000102</v>
      </c>
      <c r="KB73" s="168">
        <f t="shared" si="398"/>
        <v>2.5</v>
      </c>
      <c r="KC73" s="161">
        <v>0</v>
      </c>
      <c r="KD73" s="161">
        <v>0</v>
      </c>
      <c r="KE73" s="161">
        <v>0</v>
      </c>
      <c r="KF73" s="168">
        <f t="shared" ref="KF73" si="541">KF72</f>
        <v>0.56785714285714284</v>
      </c>
      <c r="KG73" s="154">
        <f t="shared" si="167"/>
        <v>27.5</v>
      </c>
      <c r="KH73" s="154">
        <f t="shared" si="168"/>
        <v>27.5</v>
      </c>
      <c r="KI73" s="181">
        <f t="shared" si="400"/>
        <v>27.5</v>
      </c>
      <c r="KJ73" s="181">
        <f t="shared" si="401"/>
        <v>27.5</v>
      </c>
      <c r="KK73" s="181">
        <f t="shared" si="402"/>
        <v>27.5</v>
      </c>
      <c r="KL73" s="181">
        <f t="shared" si="403"/>
        <v>27.5</v>
      </c>
      <c r="KM73" s="181">
        <f t="shared" si="404"/>
        <v>27.5</v>
      </c>
      <c r="KN73" s="181">
        <f t="shared" si="253"/>
        <v>0</v>
      </c>
      <c r="KO73" s="181">
        <f t="shared" si="174"/>
        <v>27.5</v>
      </c>
      <c r="KP73" s="157">
        <f t="shared" si="405"/>
        <v>0</v>
      </c>
      <c r="KQ73" s="157">
        <f t="shared" si="46"/>
        <v>0</v>
      </c>
      <c r="KR73" s="157">
        <f t="shared" si="406"/>
        <v>0</v>
      </c>
      <c r="KS73" s="157">
        <f t="shared" si="407"/>
        <v>0</v>
      </c>
      <c r="KT73" s="157">
        <f t="shared" si="178"/>
        <v>0</v>
      </c>
      <c r="KU73" s="157">
        <f t="shared" si="179"/>
        <v>4139.9661083209421</v>
      </c>
      <c r="KV73" s="157">
        <f t="shared" si="408"/>
        <v>0</v>
      </c>
      <c r="KW73" s="200">
        <f t="shared" si="409"/>
        <v>2.4154787112631047E-54</v>
      </c>
      <c r="KX73" s="157">
        <f t="shared" si="410"/>
        <v>1E-50</v>
      </c>
      <c r="KY73" s="157">
        <f t="shared" si="411"/>
        <v>645.54794520547944</v>
      </c>
      <c r="KZ73" s="162">
        <f t="shared" si="47"/>
        <v>645.54794520547944</v>
      </c>
      <c r="LA73" s="157">
        <f t="shared" si="184"/>
        <v>645.54794520547944</v>
      </c>
      <c r="LB73" s="157">
        <f t="shared" si="185"/>
        <v>0</v>
      </c>
      <c r="LC73" s="207">
        <f t="shared" si="412"/>
        <v>258.21917808219177</v>
      </c>
      <c r="LD73" s="207">
        <f t="shared" si="187"/>
        <v>0</v>
      </c>
      <c r="LE73" s="157">
        <f t="shared" si="188"/>
        <v>0</v>
      </c>
      <c r="LF73" s="157">
        <f t="shared" si="413"/>
        <v>0</v>
      </c>
      <c r="LG73" s="157">
        <f t="shared" si="414"/>
        <v>0</v>
      </c>
      <c r="LH73" s="168">
        <f t="shared" si="415"/>
        <v>0</v>
      </c>
      <c r="LI73" s="168">
        <f t="shared" si="416"/>
        <v>0</v>
      </c>
      <c r="LJ73" s="168">
        <f t="shared" si="417"/>
        <v>0</v>
      </c>
      <c r="LK73" s="157">
        <f t="shared" si="194"/>
        <v>645.54794520547944</v>
      </c>
      <c r="LL73" s="168">
        <f t="shared" si="418"/>
        <v>0</v>
      </c>
      <c r="LM73" s="168">
        <f t="shared" si="419"/>
        <v>3.1400000000000101E-51</v>
      </c>
      <c r="LN73" s="168">
        <f t="shared" si="420"/>
        <v>202.70205479452119</v>
      </c>
      <c r="LO73" s="168">
        <f t="shared" si="198"/>
        <v>202.70205479452119</v>
      </c>
      <c r="LP73" s="168">
        <f t="shared" si="199"/>
        <v>202.70205479452119</v>
      </c>
      <c r="LQ73" s="157">
        <f t="shared" si="200"/>
        <v>0</v>
      </c>
      <c r="LR73" s="168">
        <f t="shared" si="421"/>
        <v>0</v>
      </c>
      <c r="LT73" s="168">
        <f t="shared" si="422"/>
        <v>0</v>
      </c>
      <c r="LU73" s="168">
        <f t="shared" si="423"/>
        <v>0</v>
      </c>
      <c r="LV73" s="181"/>
      <c r="LY73" s="168">
        <f t="shared" ref="LY73:LZ73" si="542">LY72</f>
        <v>2.5</v>
      </c>
      <c r="LZ73" s="161">
        <f t="shared" si="542"/>
        <v>350</v>
      </c>
      <c r="MA73" s="161">
        <f t="shared" si="425"/>
        <v>525</v>
      </c>
      <c r="MB73" s="161">
        <f t="shared" si="426"/>
        <v>875</v>
      </c>
      <c r="MC73" s="161">
        <v>314.00000000000102</v>
      </c>
      <c r="MD73" s="168">
        <f t="shared" si="427"/>
        <v>2.5</v>
      </c>
      <c r="ME73" s="161">
        <v>0</v>
      </c>
      <c r="MF73" s="161">
        <v>0</v>
      </c>
      <c r="MG73" s="161">
        <v>0</v>
      </c>
      <c r="MH73" s="168">
        <f t="shared" ref="MH73" si="543">MH72</f>
        <v>0.56785714285714284</v>
      </c>
      <c r="MI73" s="154">
        <f t="shared" si="205"/>
        <v>27.5</v>
      </c>
      <c r="MJ73" s="181">
        <f t="shared" si="429"/>
        <v>27.5</v>
      </c>
      <c r="MK73" s="181">
        <f t="shared" si="430"/>
        <v>27.5</v>
      </c>
      <c r="ML73" s="154">
        <f t="shared" si="208"/>
        <v>27.5</v>
      </c>
      <c r="MM73" s="181">
        <f t="shared" si="431"/>
        <v>27.5</v>
      </c>
      <c r="MN73" s="181">
        <f t="shared" si="432"/>
        <v>27.5</v>
      </c>
      <c r="MO73" s="181">
        <f t="shared" si="433"/>
        <v>27.5</v>
      </c>
      <c r="MP73" s="181">
        <f t="shared" si="212"/>
        <v>27.5</v>
      </c>
      <c r="MQ73" s="157">
        <f t="shared" si="434"/>
        <v>0</v>
      </c>
      <c r="MR73" s="157">
        <f t="shared" si="213"/>
        <v>0</v>
      </c>
      <c r="MS73" s="157">
        <f t="shared" si="435"/>
        <v>0</v>
      </c>
      <c r="MT73" s="157">
        <f t="shared" si="436"/>
        <v>0</v>
      </c>
      <c r="MU73" s="157">
        <f t="shared" si="216"/>
        <v>0</v>
      </c>
      <c r="MV73" s="157">
        <f t="shared" si="217"/>
        <v>4139.9661083209421</v>
      </c>
      <c r="MW73" s="157">
        <f t="shared" si="437"/>
        <v>0</v>
      </c>
      <c r="MX73" s="200">
        <f t="shared" si="438"/>
        <v>2.4154787112631047E-54</v>
      </c>
      <c r="MY73" s="157">
        <f t="shared" si="439"/>
        <v>1E-50</v>
      </c>
      <c r="MZ73" s="157">
        <f t="shared" si="440"/>
        <v>645.54794520547944</v>
      </c>
      <c r="NA73" s="162">
        <f t="shared" si="222"/>
        <v>645.54794520547944</v>
      </c>
      <c r="NB73" s="157">
        <f t="shared" si="223"/>
        <v>645.54794520547944</v>
      </c>
      <c r="NC73" s="157">
        <f t="shared" si="224"/>
        <v>0</v>
      </c>
      <c r="ND73" s="207">
        <f t="shared" si="441"/>
        <v>258.21917808219177</v>
      </c>
      <c r="NE73" s="207">
        <f t="shared" si="225"/>
        <v>0</v>
      </c>
      <c r="NF73" s="157">
        <f t="shared" si="226"/>
        <v>0</v>
      </c>
      <c r="NG73" s="157">
        <f t="shared" si="442"/>
        <v>0</v>
      </c>
      <c r="NH73" s="157">
        <f t="shared" si="443"/>
        <v>0</v>
      </c>
      <c r="NI73" s="168">
        <f t="shared" si="444"/>
        <v>0</v>
      </c>
      <c r="NJ73" s="168">
        <f t="shared" si="445"/>
        <v>0</v>
      </c>
      <c r="NK73" s="168">
        <f t="shared" si="446"/>
        <v>0</v>
      </c>
      <c r="NL73" s="157">
        <f t="shared" si="230"/>
        <v>645.54794520547944</v>
      </c>
      <c r="NM73" s="168">
        <f t="shared" si="447"/>
        <v>0</v>
      </c>
      <c r="NN73" s="168">
        <f t="shared" si="448"/>
        <v>3.1400000000000101E-51</v>
      </c>
      <c r="NO73" s="168">
        <f t="shared" si="449"/>
        <v>202.70205479452119</v>
      </c>
      <c r="NP73" s="168">
        <f t="shared" si="234"/>
        <v>202.70205479452119</v>
      </c>
      <c r="NQ73" s="168">
        <f t="shared" si="235"/>
        <v>202.70205479452119</v>
      </c>
      <c r="NR73" s="157">
        <f t="shared" si="236"/>
        <v>0</v>
      </c>
      <c r="NS73" s="168">
        <f t="shared" si="450"/>
        <v>0</v>
      </c>
      <c r="NT73" s="157">
        <f t="shared" si="319"/>
        <v>645.54794520547944</v>
      </c>
      <c r="NU73" s="168">
        <f t="shared" si="451"/>
        <v>0</v>
      </c>
      <c r="NV73" s="168">
        <f t="shared" si="452"/>
        <v>0</v>
      </c>
      <c r="NX73" s="157"/>
      <c r="NY73" s="157"/>
      <c r="NZ73" s="157"/>
      <c r="OA73" s="157"/>
      <c r="OB73" s="157"/>
    </row>
    <row r="74" spans="1:392" ht="13" x14ac:dyDescent="0.3">
      <c r="A74" s="154">
        <v>100</v>
      </c>
      <c r="B74" s="154">
        <v>28.5</v>
      </c>
      <c r="C74" s="154">
        <f t="shared" si="320"/>
        <v>28.5</v>
      </c>
      <c r="D74" s="154">
        <v>3244.8999999999996</v>
      </c>
      <c r="E74" s="200">
        <f t="shared" si="332"/>
        <v>648.97999999991066</v>
      </c>
      <c r="F74" s="181">
        <f t="shared" si="333"/>
        <v>0</v>
      </c>
      <c r="G74" s="161">
        <f t="shared" si="334"/>
        <v>5.0000000000006875</v>
      </c>
      <c r="H74" s="154">
        <f t="shared" si="55"/>
        <v>0</v>
      </c>
      <c r="I74" s="161">
        <f t="shared" si="56"/>
        <v>0</v>
      </c>
      <c r="J74" s="181">
        <f t="shared" si="57"/>
        <v>28.5</v>
      </c>
      <c r="K74" s="181">
        <f t="shared" si="58"/>
        <v>28.5</v>
      </c>
      <c r="L74" s="181">
        <f t="shared" si="59"/>
        <v>28.5</v>
      </c>
      <c r="M74" s="181">
        <f t="shared" si="60"/>
        <v>28.5</v>
      </c>
      <c r="N74" s="181">
        <f t="shared" si="61"/>
        <v>28.5</v>
      </c>
      <c r="O74" s="181">
        <f t="shared" si="62"/>
        <v>28.5</v>
      </c>
      <c r="P74" s="181">
        <f t="shared" si="63"/>
        <v>28.5</v>
      </c>
      <c r="Q74" s="181">
        <f t="shared" si="64"/>
        <v>28.5</v>
      </c>
      <c r="R74" s="168">
        <f t="shared" si="65"/>
        <v>0</v>
      </c>
      <c r="S74" s="161">
        <f t="shared" si="66"/>
        <v>3.2277397260278411</v>
      </c>
      <c r="T74" s="161">
        <f t="shared" si="67"/>
        <v>38.65012492461446</v>
      </c>
      <c r="U74" s="161">
        <f t="shared" si="68"/>
        <v>38.65012492461446</v>
      </c>
      <c r="V74" s="154">
        <f t="shared" si="69"/>
        <v>0</v>
      </c>
      <c r="W74" s="154">
        <f t="shared" si="70"/>
        <v>0.64554794520547942</v>
      </c>
      <c r="X74" s="154">
        <f t="shared" si="71"/>
        <v>0.64554794520547942</v>
      </c>
      <c r="Y74" s="154">
        <f t="shared" si="72"/>
        <v>0.64554794520547942</v>
      </c>
      <c r="Z74" s="154">
        <f t="shared" si="321"/>
        <v>0</v>
      </c>
      <c r="AA74" s="154">
        <f t="shared" si="322"/>
        <v>9.9999999999999991E-54</v>
      </c>
      <c r="AB74" s="154">
        <f t="shared" si="323"/>
        <v>0.64554794520547942</v>
      </c>
      <c r="AC74" s="154">
        <f t="shared" si="324"/>
        <v>0.64554794520547942</v>
      </c>
      <c r="AD74" s="154">
        <f t="shared" si="325"/>
        <v>0</v>
      </c>
      <c r="AE74" s="154">
        <f t="shared" si="326"/>
        <v>0</v>
      </c>
      <c r="AF74" s="154">
        <f t="shared" si="327"/>
        <v>0</v>
      </c>
      <c r="AG74" s="154">
        <f t="shared" si="75"/>
        <v>0</v>
      </c>
      <c r="AH74" s="154">
        <f t="shared" si="76"/>
        <v>0</v>
      </c>
      <c r="AI74" s="154">
        <f t="shared" si="77"/>
        <v>0.58732876712328763</v>
      </c>
      <c r="AJ74" s="154">
        <f t="shared" si="78"/>
        <v>5.8219178082191785E-2</v>
      </c>
      <c r="AK74" s="154">
        <f t="shared" si="79"/>
        <v>0</v>
      </c>
      <c r="AL74" s="161">
        <f t="shared" si="80"/>
        <v>587.32876712328766</v>
      </c>
      <c r="AM74" s="161">
        <f t="shared" si="81"/>
        <v>58.219178082191782</v>
      </c>
      <c r="AN74" s="161">
        <f t="shared" si="82"/>
        <v>0</v>
      </c>
      <c r="AO74" s="161"/>
      <c r="AP74" s="154">
        <f t="shared" si="83"/>
        <v>0.64554794520547942</v>
      </c>
      <c r="AQ74" s="154">
        <f t="shared" si="84"/>
        <v>0.64554794520547942</v>
      </c>
      <c r="AR74" s="154">
        <f t="shared" si="85"/>
        <v>0</v>
      </c>
      <c r="AS74" s="161"/>
      <c r="AT74" s="161"/>
      <c r="AU74" s="161"/>
      <c r="AV74" s="161"/>
      <c r="AW74" s="181"/>
      <c r="AX74" s="181"/>
      <c r="AY74" s="181"/>
      <c r="AZ74" s="181"/>
      <c r="BA74" s="181"/>
      <c r="BB74" s="161"/>
      <c r="BC74" s="161"/>
      <c r="BD74" s="161"/>
      <c r="BE74" s="181"/>
      <c r="BF74" s="168"/>
      <c r="BG74" s="181"/>
      <c r="BH74" s="168"/>
      <c r="BI74" s="168"/>
      <c r="BJ74" s="161"/>
      <c r="BK74" s="168"/>
      <c r="BL74" s="168"/>
      <c r="BM74" s="168"/>
      <c r="BN74" s="168"/>
      <c r="BO74" s="168">
        <f t="shared" si="335"/>
        <v>2.9366438356168421</v>
      </c>
      <c r="BP74" s="168">
        <f t="shared" si="336"/>
        <v>0.29109589041099893</v>
      </c>
      <c r="BQ74" s="168">
        <f t="shared" si="337"/>
        <v>0</v>
      </c>
      <c r="BR74" s="181"/>
      <c r="BS74" s="161"/>
      <c r="BT74" s="168"/>
      <c r="BU74" s="161"/>
      <c r="BV74" s="161"/>
      <c r="BW74" s="161"/>
      <c r="BX74" s="161"/>
      <c r="CB74" s="181">
        <f t="shared" si="453"/>
        <v>595.11563298342617</v>
      </c>
      <c r="CC74" s="181">
        <f t="shared" si="453"/>
        <v>0</v>
      </c>
      <c r="CD74" s="181">
        <f t="shared" si="453"/>
        <v>695.57861266856992</v>
      </c>
      <c r="CE74" s="181">
        <f t="shared" si="453"/>
        <v>0</v>
      </c>
      <c r="CF74" s="181">
        <f t="shared" si="453"/>
        <v>2313.7937019487067</v>
      </c>
      <c r="CG74" s="181">
        <f t="shared" si="453"/>
        <v>0</v>
      </c>
      <c r="CH74" s="181">
        <f t="shared" si="453"/>
        <v>696.48786575702559</v>
      </c>
      <c r="CI74" s="181">
        <f t="shared" si="453"/>
        <v>0</v>
      </c>
      <c r="CJ74" s="182">
        <f t="shared" si="338"/>
        <v>4300.9758133577279</v>
      </c>
      <c r="CK74" s="161">
        <f t="shared" si="339"/>
        <v>4300.9758133577279</v>
      </c>
      <c r="CL74" s="161">
        <f t="shared" si="243"/>
        <v>529.19999999999993</v>
      </c>
      <c r="CM74" s="182">
        <f t="shared" si="340"/>
        <v>4830.1758133577277</v>
      </c>
      <c r="CN74" s="157">
        <f t="shared" si="341"/>
        <v>21.504879066791595</v>
      </c>
      <c r="CO74" s="162">
        <f t="shared" si="342"/>
        <v>4830.1758133577277</v>
      </c>
      <c r="FT74" s="168">
        <f t="shared" si="244"/>
        <v>2.5</v>
      </c>
      <c r="FU74" s="161">
        <f t="shared" si="245"/>
        <v>350</v>
      </c>
      <c r="FV74" s="161">
        <f t="shared" si="343"/>
        <v>525</v>
      </c>
      <c r="FW74" s="161">
        <f t="shared" si="344"/>
        <v>875</v>
      </c>
      <c r="FX74" s="161">
        <v>315.00000000000102</v>
      </c>
      <c r="FY74" s="168">
        <f t="shared" si="345"/>
        <v>2.5</v>
      </c>
      <c r="FZ74" s="161">
        <v>3.499999999999992E-9</v>
      </c>
      <c r="GA74" s="161">
        <v>5.2499999999999883E-9</v>
      </c>
      <c r="GB74" s="161">
        <v>8.7499999999999807E-9</v>
      </c>
      <c r="GC74" s="168">
        <f t="shared" si="246"/>
        <v>0.56785714285714284</v>
      </c>
      <c r="GD74" s="154">
        <f t="shared" si="97"/>
        <v>28.5</v>
      </c>
      <c r="GE74" s="181">
        <f t="shared" si="346"/>
        <v>28.5</v>
      </c>
      <c r="GF74" s="181">
        <f t="shared" si="347"/>
        <v>28.5</v>
      </c>
      <c r="GG74" s="154">
        <f t="shared" si="99"/>
        <v>28.5</v>
      </c>
      <c r="GH74" s="181">
        <f t="shared" si="348"/>
        <v>28.5</v>
      </c>
      <c r="GI74" s="181">
        <f t="shared" si="349"/>
        <v>28.500000000137579</v>
      </c>
      <c r="GJ74" s="181">
        <f t="shared" si="102"/>
        <v>28.500000000137579</v>
      </c>
      <c r="GK74" s="181">
        <f t="shared" si="103"/>
        <v>28.5</v>
      </c>
      <c r="GL74" s="157">
        <f t="shared" si="350"/>
        <v>0</v>
      </c>
      <c r="GM74" s="157">
        <f t="shared" si="105"/>
        <v>0</v>
      </c>
      <c r="GN74" s="157">
        <f t="shared" si="106"/>
        <v>0</v>
      </c>
      <c r="GO74" s="157">
        <f t="shared" si="107"/>
        <v>0</v>
      </c>
      <c r="GP74" s="157">
        <f t="shared" si="108"/>
        <v>0</v>
      </c>
      <c r="GQ74" s="157">
        <f t="shared" si="109"/>
        <v>4830.1758133577277</v>
      </c>
      <c r="GR74" s="157">
        <f t="shared" si="351"/>
        <v>0</v>
      </c>
      <c r="GS74" s="200">
        <f t="shared" si="352"/>
        <v>2.0703180145834971E-54</v>
      </c>
      <c r="GT74" s="157">
        <f t="shared" si="353"/>
        <v>9.9999999999999989E-51</v>
      </c>
      <c r="GU74" s="157">
        <f t="shared" si="354"/>
        <v>645.54794520547944</v>
      </c>
      <c r="GV74" s="162">
        <f t="shared" si="114"/>
        <v>645.54794520547944</v>
      </c>
      <c r="GW74" s="157">
        <f t="shared" si="355"/>
        <v>645.54794520547944</v>
      </c>
      <c r="GX74" s="157">
        <f t="shared" si="247"/>
        <v>0</v>
      </c>
      <c r="GY74" s="207">
        <f t="shared" si="356"/>
        <v>258.21917808219177</v>
      </c>
      <c r="GZ74" s="207">
        <f t="shared" si="116"/>
        <v>0</v>
      </c>
      <c r="HA74" s="157">
        <f t="shared" si="117"/>
        <v>3.499999999999991E-10</v>
      </c>
      <c r="HB74" s="157">
        <f t="shared" si="357"/>
        <v>5.249999999999987E-10</v>
      </c>
      <c r="HC74" s="157">
        <f t="shared" si="358"/>
        <v>8.749999999999977E-10</v>
      </c>
      <c r="HD74" s="168">
        <f t="shared" si="359"/>
        <v>1.1025000000000008E-10</v>
      </c>
      <c r="HE74" s="168">
        <f t="shared" si="360"/>
        <v>1.6537500000000011E-10</v>
      </c>
      <c r="HF74" s="168">
        <f t="shared" si="361"/>
        <v>2.7562500000000017E-10</v>
      </c>
      <c r="HG74" s="157">
        <f t="shared" si="119"/>
        <v>645.54794520460439</v>
      </c>
      <c r="HH74" s="168">
        <f t="shared" si="362"/>
        <v>0</v>
      </c>
      <c r="HI74" s="168">
        <f t="shared" si="363"/>
        <v>3.15000000000001E-51</v>
      </c>
      <c r="HJ74" s="168">
        <f t="shared" si="364"/>
        <v>203.34760273972668</v>
      </c>
      <c r="HK74" s="168">
        <f t="shared" si="123"/>
        <v>203.34760273945102</v>
      </c>
      <c r="HL74" s="168">
        <f t="shared" si="124"/>
        <v>203.34760273972668</v>
      </c>
      <c r="HM74" s="157">
        <f t="shared" si="125"/>
        <v>8.7500140466545417E-9</v>
      </c>
      <c r="HN74" s="168">
        <f t="shared" si="365"/>
        <v>1.6537500000000011E-10</v>
      </c>
      <c r="HP74" s="168">
        <f t="shared" si="366"/>
        <v>0</v>
      </c>
      <c r="HQ74" s="168">
        <f t="shared" si="367"/>
        <v>0</v>
      </c>
      <c r="HR74" s="181"/>
      <c r="HU74" s="168">
        <f t="shared" ref="HU74:HV74" si="544">HU73</f>
        <v>2.5</v>
      </c>
      <c r="HV74" s="161">
        <f t="shared" si="544"/>
        <v>350</v>
      </c>
      <c r="HW74" s="161">
        <f t="shared" si="369"/>
        <v>525</v>
      </c>
      <c r="HX74" s="161">
        <f t="shared" si="370"/>
        <v>875</v>
      </c>
      <c r="HY74" s="161">
        <v>315.00000000000102</v>
      </c>
      <c r="HZ74" s="168">
        <f t="shared" si="371"/>
        <v>2.5</v>
      </c>
      <c r="IA74" s="161">
        <v>0</v>
      </c>
      <c r="IB74" s="161">
        <v>0</v>
      </c>
      <c r="IC74" s="161">
        <v>0</v>
      </c>
      <c r="ID74" s="168">
        <f t="shared" ref="ID74" si="545">ID73</f>
        <v>0.56785714285714284</v>
      </c>
      <c r="IE74" s="154">
        <f t="shared" si="130"/>
        <v>28.5</v>
      </c>
      <c r="IF74" s="154">
        <f t="shared" si="131"/>
        <v>28.5</v>
      </c>
      <c r="IG74" s="181">
        <f t="shared" si="373"/>
        <v>28.5</v>
      </c>
      <c r="IH74" s="181">
        <f t="shared" si="374"/>
        <v>28.5</v>
      </c>
      <c r="II74" s="181">
        <f t="shared" si="375"/>
        <v>28.5</v>
      </c>
      <c r="IJ74" s="181">
        <f t="shared" si="376"/>
        <v>28.5</v>
      </c>
      <c r="IK74" s="181">
        <f t="shared" si="377"/>
        <v>28.5</v>
      </c>
      <c r="IL74" s="181">
        <f t="shared" si="250"/>
        <v>0</v>
      </c>
      <c r="IM74" s="181">
        <f t="shared" si="137"/>
        <v>28.5</v>
      </c>
      <c r="IN74" s="157">
        <f t="shared" si="378"/>
        <v>0</v>
      </c>
      <c r="IO74" s="157">
        <f t="shared" si="139"/>
        <v>0</v>
      </c>
      <c r="IP74" s="157">
        <f t="shared" si="42"/>
        <v>0</v>
      </c>
      <c r="IQ74" s="157">
        <f t="shared" si="43"/>
        <v>0</v>
      </c>
      <c r="IR74" s="157">
        <f t="shared" si="140"/>
        <v>0</v>
      </c>
      <c r="IS74" s="157">
        <f t="shared" si="141"/>
        <v>4830.1758133577277</v>
      </c>
      <c r="IT74" s="157">
        <f t="shared" si="379"/>
        <v>0</v>
      </c>
      <c r="IU74" s="200">
        <f t="shared" si="380"/>
        <v>2.0703180145834971E-54</v>
      </c>
      <c r="IV74" s="157">
        <f t="shared" si="381"/>
        <v>9.9999999999999989E-51</v>
      </c>
      <c r="IW74" s="157">
        <f t="shared" si="382"/>
        <v>645.54794520547944</v>
      </c>
      <c r="IX74" s="162">
        <f t="shared" si="146"/>
        <v>645.54794520547944</v>
      </c>
      <c r="IY74" s="157">
        <f t="shared" si="22"/>
        <v>645.54794520547944</v>
      </c>
      <c r="IZ74" s="157">
        <f t="shared" si="147"/>
        <v>0</v>
      </c>
      <c r="JA74" s="207">
        <f t="shared" si="383"/>
        <v>258.21917808219177</v>
      </c>
      <c r="JB74" s="207">
        <f t="shared" si="149"/>
        <v>0</v>
      </c>
      <c r="JC74" s="157">
        <f t="shared" si="150"/>
        <v>0</v>
      </c>
      <c r="JD74" s="157">
        <f t="shared" si="384"/>
        <v>0</v>
      </c>
      <c r="JE74" s="157">
        <f t="shared" si="385"/>
        <v>0</v>
      </c>
      <c r="JF74" s="168">
        <f t="shared" si="386"/>
        <v>0</v>
      </c>
      <c r="JG74" s="168">
        <f t="shared" si="387"/>
        <v>0</v>
      </c>
      <c r="JH74" s="168">
        <f t="shared" si="388"/>
        <v>0</v>
      </c>
      <c r="JI74" s="157">
        <f t="shared" si="156"/>
        <v>645.54794520547944</v>
      </c>
      <c r="JJ74" s="168">
        <f t="shared" si="389"/>
        <v>0</v>
      </c>
      <c r="JK74" s="168">
        <f t="shared" si="390"/>
        <v>3.15000000000001E-51</v>
      </c>
      <c r="JL74" s="168">
        <f t="shared" si="391"/>
        <v>203.34760273972668</v>
      </c>
      <c r="JM74" s="168">
        <f t="shared" si="160"/>
        <v>203.34760273972668</v>
      </c>
      <c r="JN74" s="168">
        <f t="shared" si="161"/>
        <v>203.34760273972668</v>
      </c>
      <c r="JO74" s="157">
        <f t="shared" si="162"/>
        <v>0</v>
      </c>
      <c r="JP74" s="168">
        <f t="shared" si="392"/>
        <v>0</v>
      </c>
      <c r="JR74" s="168">
        <f t="shared" si="393"/>
        <v>0</v>
      </c>
      <c r="JS74" s="168">
        <f t="shared" si="394"/>
        <v>0</v>
      </c>
      <c r="JT74" s="181"/>
      <c r="JW74" s="168">
        <f t="shared" ref="JW74:JX74" si="546">JW73</f>
        <v>2.5</v>
      </c>
      <c r="JX74" s="161">
        <f t="shared" si="546"/>
        <v>350</v>
      </c>
      <c r="JY74" s="161">
        <f t="shared" si="396"/>
        <v>525</v>
      </c>
      <c r="JZ74" s="161">
        <f t="shared" si="397"/>
        <v>875</v>
      </c>
      <c r="KA74" s="161">
        <v>315.00000000000102</v>
      </c>
      <c r="KB74" s="168">
        <f t="shared" si="398"/>
        <v>2.5</v>
      </c>
      <c r="KC74" s="161">
        <v>0</v>
      </c>
      <c r="KD74" s="161">
        <v>0</v>
      </c>
      <c r="KE74" s="161">
        <v>0</v>
      </c>
      <c r="KF74" s="168">
        <f t="shared" ref="KF74" si="547">KF73</f>
        <v>0.56785714285714284</v>
      </c>
      <c r="KG74" s="154">
        <f t="shared" si="167"/>
        <v>28.5</v>
      </c>
      <c r="KH74" s="154">
        <f t="shared" si="168"/>
        <v>28.5</v>
      </c>
      <c r="KI74" s="181">
        <f t="shared" si="400"/>
        <v>28.5</v>
      </c>
      <c r="KJ74" s="181">
        <f t="shared" si="401"/>
        <v>28.5</v>
      </c>
      <c r="KK74" s="181">
        <f t="shared" si="402"/>
        <v>28.5</v>
      </c>
      <c r="KL74" s="181">
        <f t="shared" si="403"/>
        <v>28.5</v>
      </c>
      <c r="KM74" s="181">
        <f t="shared" si="404"/>
        <v>28.5</v>
      </c>
      <c r="KN74" s="181">
        <f t="shared" si="253"/>
        <v>0</v>
      </c>
      <c r="KO74" s="181">
        <f t="shared" si="174"/>
        <v>28.5</v>
      </c>
      <c r="KP74" s="157">
        <f t="shared" si="405"/>
        <v>0</v>
      </c>
      <c r="KQ74" s="157">
        <f t="shared" si="46"/>
        <v>0</v>
      </c>
      <c r="KR74" s="157">
        <f t="shared" si="406"/>
        <v>0</v>
      </c>
      <c r="KS74" s="157">
        <f t="shared" si="407"/>
        <v>0</v>
      </c>
      <c r="KT74" s="157">
        <f t="shared" si="178"/>
        <v>0</v>
      </c>
      <c r="KU74" s="157">
        <f t="shared" si="179"/>
        <v>4830.1758133577277</v>
      </c>
      <c r="KV74" s="157">
        <f t="shared" si="408"/>
        <v>0</v>
      </c>
      <c r="KW74" s="200">
        <f t="shared" si="409"/>
        <v>2.0703180145834971E-54</v>
      </c>
      <c r="KX74" s="157">
        <f t="shared" si="410"/>
        <v>9.9999999999999989E-51</v>
      </c>
      <c r="KY74" s="157">
        <f t="shared" si="411"/>
        <v>645.54794520547944</v>
      </c>
      <c r="KZ74" s="162">
        <f t="shared" si="47"/>
        <v>645.54794520547944</v>
      </c>
      <c r="LA74" s="157">
        <f t="shared" si="184"/>
        <v>645.54794520547944</v>
      </c>
      <c r="LB74" s="157">
        <f t="shared" si="185"/>
        <v>0</v>
      </c>
      <c r="LC74" s="207">
        <f t="shared" si="412"/>
        <v>258.21917808219177</v>
      </c>
      <c r="LD74" s="207">
        <f t="shared" si="187"/>
        <v>0</v>
      </c>
      <c r="LE74" s="157">
        <f t="shared" si="188"/>
        <v>0</v>
      </c>
      <c r="LF74" s="157">
        <f t="shared" si="413"/>
        <v>0</v>
      </c>
      <c r="LG74" s="157">
        <f t="shared" si="414"/>
        <v>0</v>
      </c>
      <c r="LH74" s="168">
        <f t="shared" si="415"/>
        <v>0</v>
      </c>
      <c r="LI74" s="168">
        <f t="shared" si="416"/>
        <v>0</v>
      </c>
      <c r="LJ74" s="168">
        <f t="shared" si="417"/>
        <v>0</v>
      </c>
      <c r="LK74" s="157">
        <f t="shared" si="194"/>
        <v>645.54794520547944</v>
      </c>
      <c r="LL74" s="168">
        <f t="shared" si="418"/>
        <v>0</v>
      </c>
      <c r="LM74" s="168">
        <f t="shared" si="419"/>
        <v>3.15000000000001E-51</v>
      </c>
      <c r="LN74" s="168">
        <f t="shared" si="420"/>
        <v>203.34760273972668</v>
      </c>
      <c r="LO74" s="168">
        <f t="shared" si="198"/>
        <v>203.34760273972668</v>
      </c>
      <c r="LP74" s="168">
        <f t="shared" si="199"/>
        <v>203.34760273972668</v>
      </c>
      <c r="LQ74" s="157">
        <f t="shared" si="200"/>
        <v>0</v>
      </c>
      <c r="LR74" s="168">
        <f t="shared" si="421"/>
        <v>0</v>
      </c>
      <c r="LT74" s="168">
        <f t="shared" si="422"/>
        <v>0</v>
      </c>
      <c r="LU74" s="168">
        <f t="shared" si="423"/>
        <v>0</v>
      </c>
      <c r="LV74" s="181"/>
      <c r="LY74" s="168">
        <f t="shared" ref="LY74:LZ74" si="548">LY73</f>
        <v>2.5</v>
      </c>
      <c r="LZ74" s="161">
        <f t="shared" si="548"/>
        <v>350</v>
      </c>
      <c r="MA74" s="161">
        <f t="shared" si="425"/>
        <v>525</v>
      </c>
      <c r="MB74" s="161">
        <f t="shared" si="426"/>
        <v>875</v>
      </c>
      <c r="MC74" s="161">
        <v>315.00000000000102</v>
      </c>
      <c r="MD74" s="168">
        <f t="shared" si="427"/>
        <v>2.5</v>
      </c>
      <c r="ME74" s="161">
        <v>0</v>
      </c>
      <c r="MF74" s="161">
        <v>0</v>
      </c>
      <c r="MG74" s="161">
        <v>0</v>
      </c>
      <c r="MH74" s="168">
        <f t="shared" ref="MH74" si="549">MH73</f>
        <v>0.56785714285714284</v>
      </c>
      <c r="MI74" s="154">
        <f t="shared" si="205"/>
        <v>28.5</v>
      </c>
      <c r="MJ74" s="181">
        <f t="shared" si="429"/>
        <v>28.5</v>
      </c>
      <c r="MK74" s="181">
        <f t="shared" si="430"/>
        <v>28.5</v>
      </c>
      <c r="ML74" s="154">
        <f t="shared" si="208"/>
        <v>28.5</v>
      </c>
      <c r="MM74" s="181">
        <f t="shared" si="431"/>
        <v>28.5</v>
      </c>
      <c r="MN74" s="181">
        <f t="shared" si="432"/>
        <v>28.5</v>
      </c>
      <c r="MO74" s="181">
        <f t="shared" si="433"/>
        <v>28.5</v>
      </c>
      <c r="MP74" s="181">
        <f t="shared" si="212"/>
        <v>28.5</v>
      </c>
      <c r="MQ74" s="157">
        <f t="shared" si="434"/>
        <v>0</v>
      </c>
      <c r="MR74" s="157">
        <f t="shared" si="213"/>
        <v>0</v>
      </c>
      <c r="MS74" s="157">
        <f t="shared" si="435"/>
        <v>0</v>
      </c>
      <c r="MT74" s="157">
        <f t="shared" si="436"/>
        <v>0</v>
      </c>
      <c r="MU74" s="157">
        <f t="shared" si="216"/>
        <v>0</v>
      </c>
      <c r="MV74" s="157">
        <f t="shared" si="217"/>
        <v>4830.1758133577277</v>
      </c>
      <c r="MW74" s="157">
        <f t="shared" si="437"/>
        <v>0</v>
      </c>
      <c r="MX74" s="200">
        <f t="shared" si="438"/>
        <v>2.0703180145834971E-54</v>
      </c>
      <c r="MY74" s="157">
        <f t="shared" si="439"/>
        <v>9.9999999999999989E-51</v>
      </c>
      <c r="MZ74" s="157">
        <f t="shared" si="440"/>
        <v>645.54794520547944</v>
      </c>
      <c r="NA74" s="162">
        <f t="shared" si="222"/>
        <v>645.54794520547944</v>
      </c>
      <c r="NB74" s="157">
        <f t="shared" si="223"/>
        <v>645.54794520547944</v>
      </c>
      <c r="NC74" s="157">
        <f t="shared" si="224"/>
        <v>0</v>
      </c>
      <c r="ND74" s="207">
        <f t="shared" si="441"/>
        <v>258.21917808219177</v>
      </c>
      <c r="NE74" s="207">
        <f t="shared" si="225"/>
        <v>0</v>
      </c>
      <c r="NF74" s="157">
        <f t="shared" si="226"/>
        <v>0</v>
      </c>
      <c r="NG74" s="157">
        <f t="shared" si="442"/>
        <v>0</v>
      </c>
      <c r="NH74" s="157">
        <f t="shared" si="443"/>
        <v>0</v>
      </c>
      <c r="NI74" s="168">
        <f t="shared" si="444"/>
        <v>0</v>
      </c>
      <c r="NJ74" s="168">
        <f t="shared" si="445"/>
        <v>0</v>
      </c>
      <c r="NK74" s="168">
        <f t="shared" si="446"/>
        <v>0</v>
      </c>
      <c r="NL74" s="157">
        <f t="shared" si="230"/>
        <v>645.54794520547944</v>
      </c>
      <c r="NM74" s="168">
        <f t="shared" si="447"/>
        <v>0</v>
      </c>
      <c r="NN74" s="168">
        <f t="shared" si="448"/>
        <v>3.15000000000001E-51</v>
      </c>
      <c r="NO74" s="168">
        <f t="shared" si="449"/>
        <v>203.34760273972668</v>
      </c>
      <c r="NP74" s="168">
        <f t="shared" si="234"/>
        <v>203.34760273972668</v>
      </c>
      <c r="NQ74" s="168">
        <f t="shared" si="235"/>
        <v>203.34760273972668</v>
      </c>
      <c r="NR74" s="157">
        <f t="shared" si="236"/>
        <v>0</v>
      </c>
      <c r="NS74" s="168">
        <f t="shared" si="450"/>
        <v>0</v>
      </c>
      <c r="NT74" s="157">
        <f t="shared" si="319"/>
        <v>645.54794520547944</v>
      </c>
      <c r="NU74" s="168">
        <f t="shared" si="451"/>
        <v>0</v>
      </c>
      <c r="NV74" s="168">
        <f t="shared" si="452"/>
        <v>0</v>
      </c>
      <c r="NX74" s="157"/>
      <c r="NY74" s="157"/>
      <c r="NZ74" s="157"/>
      <c r="OA74" s="157"/>
      <c r="OB74" s="157"/>
    </row>
    <row r="75" spans="1:392" x14ac:dyDescent="0.25">
      <c r="A75" s="200"/>
      <c r="D75" s="154">
        <v>0</v>
      </c>
    </row>
    <row r="76" spans="1:392" x14ac:dyDescent="0.25">
      <c r="A76" s="200"/>
      <c r="B76" s="154" t="s">
        <v>131</v>
      </c>
    </row>
    <row r="77" spans="1:392" x14ac:dyDescent="0.25">
      <c r="A77" s="154">
        <v>72.203196347031962</v>
      </c>
      <c r="B77" s="154">
        <v>-50</v>
      </c>
      <c r="C77" s="154">
        <v>0</v>
      </c>
    </row>
    <row r="78" spans="1:392" x14ac:dyDescent="0.25">
      <c r="A78" s="154">
        <v>72.203196347031962</v>
      </c>
      <c r="B78" s="168">
        <f>MAX(INT((MAX(J24:Q74,T24:U74)+10)/10)*10,50)</f>
        <v>100</v>
      </c>
      <c r="C78" s="154">
        <f>INT(MAX(X24:AF74)+1)</f>
        <v>8</v>
      </c>
    </row>
    <row r="79" spans="1:392" x14ac:dyDescent="0.25">
      <c r="A79" s="154" t="str">
        <f>"A"&amp;$FT$7</f>
        <v>A57</v>
      </c>
    </row>
    <row r="80" spans="1:392" x14ac:dyDescent="0.25">
      <c r="A80" s="154">
        <f ca="1">8760*A81/100</f>
        <v>6325</v>
      </c>
      <c r="B80" s="154" t="s">
        <v>92</v>
      </c>
    </row>
    <row r="81" spans="1:19" x14ac:dyDescent="0.25">
      <c r="A81" s="154">
        <f ca="1">MAX(A24:INDIRECT(A79))</f>
        <v>72.203196347031962</v>
      </c>
    </row>
    <row r="82" spans="1:19" x14ac:dyDescent="0.25">
      <c r="F82" s="211" t="s">
        <v>225</v>
      </c>
      <c r="G82" s="154">
        <f>$CB$10/24*$CC$10/7</f>
        <v>1</v>
      </c>
      <c r="O82" s="157"/>
      <c r="P82" s="157"/>
      <c r="Q82" s="157"/>
    </row>
    <row r="83" spans="1:19" x14ac:dyDescent="0.25">
      <c r="F83" s="211"/>
      <c r="O83" s="157"/>
      <c r="P83" s="157"/>
      <c r="Q83" s="157"/>
    </row>
    <row r="84" spans="1:19" x14ac:dyDescent="0.25">
      <c r="D84" s="156" t="str">
        <f ca="1">F84&amp;G84&amp;" kWh"</f>
        <v>A: 8806 kWh</v>
      </c>
      <c r="F84" s="211" t="s">
        <v>159</v>
      </c>
      <c r="G84" s="157">
        <f ca="1">INT('Hki-2012'!$HP$8*$G$82+0.5)</f>
        <v>8806</v>
      </c>
      <c r="O84" s="157"/>
      <c r="P84" s="157"/>
      <c r="Q84" s="157"/>
    </row>
    <row r="85" spans="1:19" ht="13" x14ac:dyDescent="0.3">
      <c r="D85" s="156" t="str">
        <f ca="1">F85&amp;G85&amp;" %"</f>
        <v>LTO:n vuosihyötysuhde: 72 %</v>
      </c>
      <c r="F85" s="211" t="s">
        <v>285</v>
      </c>
      <c r="G85" s="157">
        <f ca="1">INT('Hki-2012'!$HB$10*$G$82*100+0.5)</f>
        <v>72</v>
      </c>
      <c r="O85" s="162"/>
      <c r="P85" s="162"/>
      <c r="Q85" s="162"/>
    </row>
    <row r="86" spans="1:19" x14ac:dyDescent="0.25">
      <c r="F86" s="211"/>
      <c r="O86" s="157"/>
      <c r="P86" s="157"/>
      <c r="Q86" s="157"/>
    </row>
    <row r="87" spans="1:19" x14ac:dyDescent="0.25">
      <c r="D87" s="156" t="str">
        <f ca="1">F87&amp;G87&amp;" kWh"</f>
        <v>LTO: 3053 kWh</v>
      </c>
      <c r="F87" s="211" t="s">
        <v>158</v>
      </c>
      <c r="G87" s="157">
        <f ca="1">INT('Hki-2012'!$HR$8*$G$82+0.5)</f>
        <v>3053</v>
      </c>
      <c r="O87" s="157"/>
      <c r="P87" s="157"/>
      <c r="Q87" s="157"/>
    </row>
    <row r="88" spans="1:19" x14ac:dyDescent="0.25">
      <c r="D88" s="156" t="str">
        <f ca="1">F88&amp;G88&amp;" kWh"</f>
        <v>PILP: 3296 kWh</v>
      </c>
      <c r="F88" s="211" t="s">
        <v>143</v>
      </c>
      <c r="G88" s="157">
        <f ca="1">INT('Hki-2012'!$HE$8*$G$82+0.5)</f>
        <v>3296</v>
      </c>
      <c r="I88" s="154" t="s">
        <v>166</v>
      </c>
      <c r="O88" s="157"/>
      <c r="P88" s="157"/>
      <c r="Q88" s="157"/>
    </row>
    <row r="89" spans="1:19" x14ac:dyDescent="0.25">
      <c r="D89" s="156" t="str">
        <f ca="1">F89&amp;G89&amp;" kWh"</f>
        <v>B: 2456 kWh</v>
      </c>
      <c r="F89" s="211" t="s">
        <v>144</v>
      </c>
      <c r="G89" s="157">
        <f ca="1">INT('Hki-2012'!$HO$8*$G$82+0.5)</f>
        <v>2456</v>
      </c>
      <c r="O89" s="157"/>
      <c r="P89" s="157"/>
      <c r="Q89" s="157"/>
      <c r="S89" s="157"/>
    </row>
    <row r="90" spans="1:19" x14ac:dyDescent="0.25">
      <c r="D90" s="156" t="str">
        <f ca="1">F90&amp;G90&amp;" kWh"</f>
        <v>PILP:n lauhdutin: 5493 kWh</v>
      </c>
      <c r="F90" s="211" t="s">
        <v>323</v>
      </c>
      <c r="G90" s="157">
        <f ca="1">INT('Hki-2012'!$HF$8*$G$82+0.5)</f>
        <v>5493</v>
      </c>
      <c r="I90" s="154" t="s">
        <v>324</v>
      </c>
      <c r="O90" s="157"/>
      <c r="P90" s="157"/>
      <c r="Q90" s="157"/>
    </row>
    <row r="91" spans="1:19" x14ac:dyDescent="0.25">
      <c r="D91" s="156" t="str">
        <f ca="1">F91&amp;G91&amp;" kWh"</f>
        <v>Hyödynnetyt lämpökuormat: 5473 kWh</v>
      </c>
      <c r="F91" s="211" t="s">
        <v>142</v>
      </c>
      <c r="G91" s="157">
        <f ca="1">INT('Hki-2012'!$HI$8*$G$82+0.5)</f>
        <v>5473</v>
      </c>
      <c r="N91" s="157"/>
      <c r="O91" s="157"/>
      <c r="P91" s="157"/>
      <c r="Q91" s="157"/>
    </row>
    <row r="92" spans="1:19" x14ac:dyDescent="0.25">
      <c r="D92" s="156" t="str">
        <f t="shared" ref="D92:D104" ca="1" si="550">F92&amp;G92&amp;" kWh"</f>
        <v>Muu lämmitys: 9838 kWh</v>
      </c>
      <c r="F92" s="211" t="s">
        <v>138</v>
      </c>
      <c r="G92" s="157">
        <f ca="1">INT('Hki-2012'!$HK$8*$G$82+0.5)</f>
        <v>9838</v>
      </c>
    </row>
    <row r="93" spans="1:19" x14ac:dyDescent="0.25">
      <c r="D93" s="156" t="str">
        <f t="shared" si="550"/>
        <v>PILPtilat: 0 kWh</v>
      </c>
      <c r="F93" s="211" t="s">
        <v>139</v>
      </c>
      <c r="G93" s="157">
        <f>INT('Hki-2012'!$K$100*$G$82+0.5)</f>
        <v>0</v>
      </c>
    </row>
    <row r="94" spans="1:19" x14ac:dyDescent="0.25">
      <c r="D94" s="156" t="str">
        <f t="shared" si="550"/>
        <v>PILP yhteensä: 0 kWh</v>
      </c>
      <c r="F94" s="211" t="s">
        <v>140</v>
      </c>
      <c r="G94" s="157">
        <f>INT('Hki-2012'!$K$102*$G$82+0.5)</f>
        <v>0</v>
      </c>
    </row>
    <row r="95" spans="1:19" x14ac:dyDescent="0.25">
      <c r="D95" s="156" t="str">
        <f t="shared" si="550"/>
        <v>PILPilmanvaihto: 0 kWh</v>
      </c>
      <c r="F95" s="211" t="s">
        <v>141</v>
      </c>
      <c r="G95" s="157">
        <f>INT('Hki-2012'!$K$99*$G$82+0.5)</f>
        <v>0</v>
      </c>
      <c r="O95" s="157"/>
      <c r="P95" s="157"/>
      <c r="Q95" s="157"/>
    </row>
    <row r="96" spans="1:19" x14ac:dyDescent="0.25">
      <c r="D96" s="156" t="str">
        <f t="shared" ca="1" si="550"/>
        <v>Kompressorin sähkö: 2197 kWh</v>
      </c>
      <c r="F96" s="211" t="s">
        <v>145</v>
      </c>
      <c r="G96" s="157">
        <f ca="1">INT('Hki-2012'!$HD$8*$G$82+0.5)</f>
        <v>2197</v>
      </c>
      <c r="I96" s="154" t="s">
        <v>311</v>
      </c>
      <c r="O96" s="157"/>
      <c r="P96" s="157"/>
      <c r="Q96" s="157"/>
    </row>
    <row r="97" spans="4:35" x14ac:dyDescent="0.25">
      <c r="D97" s="156" t="str">
        <f t="shared" ref="D97" ca="1" si="551">F97&amp;G97&amp;" kWh"</f>
        <v>Muu lämpöhäviö: 0 kWh</v>
      </c>
      <c r="F97" s="211" t="s">
        <v>332</v>
      </c>
      <c r="G97" s="157">
        <f ca="1">INT('Hki-2012'!$BQ$8*$G$82+0.5)</f>
        <v>0</v>
      </c>
    </row>
    <row r="98" spans="4:35" x14ac:dyDescent="0.25">
      <c r="D98" s="156" t="str">
        <f t="shared" ca="1" si="550"/>
        <v>Tuloilman jälkilämmitys: 2443 kWh</v>
      </c>
      <c r="F98" s="211" t="s">
        <v>164</v>
      </c>
      <c r="G98" s="157">
        <f ca="1">INT('Hki-2012'!$HH$8*$G$82+0.5)</f>
        <v>2443</v>
      </c>
    </row>
    <row r="99" spans="4:35" x14ac:dyDescent="0.25">
      <c r="D99" s="156" t="str">
        <f t="shared" si="550"/>
        <v>UILP: 0 kWh</v>
      </c>
      <c r="F99" s="211" t="s">
        <v>167</v>
      </c>
      <c r="G99" s="157">
        <f>INT('Hki-2012'!$K$106*$G$82+0.5)</f>
        <v>0</v>
      </c>
    </row>
    <row r="100" spans="4:35" x14ac:dyDescent="0.25">
      <c r="D100" s="156" t="str">
        <f t="shared" ca="1" si="550"/>
        <v>Käyttöveden lämmitys: 3715 kWh</v>
      </c>
      <c r="F100" s="211" t="s">
        <v>208</v>
      </c>
      <c r="G100" s="157">
        <f ca="1">INT('Hki-2012'!$BO$8*$G$82+0.5)</f>
        <v>3715</v>
      </c>
    </row>
    <row r="101" spans="4:35" x14ac:dyDescent="0.25">
      <c r="D101" s="156" t="str">
        <f t="shared" ca="1" si="550"/>
        <v>Käyttöveden lämpöhäviö: 368 kWh</v>
      </c>
      <c r="F101" s="211" t="s">
        <v>355</v>
      </c>
      <c r="G101" s="157">
        <f ca="1">INT('Hki-2012'!$BP$8*$G$82+0.5)</f>
        <v>368</v>
      </c>
      <c r="S101" s="157"/>
      <c r="T101" s="157"/>
      <c r="U101" s="157"/>
      <c r="V101" s="157"/>
      <c r="W101" s="157"/>
      <c r="X101" s="157"/>
      <c r="Y101" s="157"/>
      <c r="Z101" s="157"/>
      <c r="AA101" s="157"/>
      <c r="AB101" s="157"/>
      <c r="AC101" s="157"/>
      <c r="AD101" s="157"/>
      <c r="AE101" s="157"/>
      <c r="AF101" s="157"/>
      <c r="AG101" s="157"/>
      <c r="AH101" s="157"/>
      <c r="AI101" s="157"/>
    </row>
    <row r="102" spans="4:35" x14ac:dyDescent="0.25">
      <c r="D102" s="156" t="str">
        <f t="shared" ca="1" si="550"/>
        <v>Tuloilman lämmitys: 2443 kWh</v>
      </c>
      <c r="F102" s="211" t="s">
        <v>206</v>
      </c>
      <c r="G102" s="157">
        <f ca="1">INT('Hki-2012'!$HH$8*$G$82+0.5)</f>
        <v>2443</v>
      </c>
    </row>
    <row r="103" spans="4:35" x14ac:dyDescent="0.25">
      <c r="D103" s="156" t="str">
        <f t="shared" si="550"/>
        <v>Tilojen lämmitys: 0 kWh</v>
      </c>
      <c r="F103" s="211" t="s">
        <v>207</v>
      </c>
      <c r="G103" s="157">
        <f>INT('Hki-2012'!$FN$21*$G$82+0.5)</f>
        <v>0</v>
      </c>
    </row>
    <row r="104" spans="4:35" x14ac:dyDescent="0.25">
      <c r="D104" s="156" t="str">
        <f t="shared" ca="1" si="550"/>
        <v>Bruttolämmöntarve: 23858 kWh</v>
      </c>
      <c r="F104" s="211" t="s">
        <v>333</v>
      </c>
      <c r="G104" s="157">
        <f ca="1">INT('Hki-2012'!$HL$8*$G$82+0.5)</f>
        <v>23858</v>
      </c>
    </row>
  </sheetData>
  <sheetProtection password="94B5" sheet="1" objects="1" scenarios="1" selectLockedCells="1"/>
  <phoneticPr fontId="0" type="noConversion"/>
  <printOptions headings="1" gridLines="1"/>
  <pageMargins left="0.23622047244094491" right="0.23622047244094491" top="0.74803149606299213" bottom="0.74803149606299213" header="0.31496062992125984" footer="0.31496062992125984"/>
  <pageSetup paperSize="8" orientation="landscape"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Laskentataulukot</vt:lpstr>
      </vt:variant>
      <vt:variant>
        <vt:i4>3</vt:i4>
      </vt:variant>
      <vt:variant>
        <vt:lpstr>Kaaviot</vt:lpstr>
      </vt:variant>
      <vt:variant>
        <vt:i4>6</vt:i4>
      </vt:variant>
      <vt:variant>
        <vt:lpstr>Nimetyt alueet</vt:lpstr>
      </vt:variant>
      <vt:variant>
        <vt:i4>6</vt:i4>
      </vt:variant>
    </vt:vector>
  </HeadingPairs>
  <TitlesOfParts>
    <vt:vector size="15" baseType="lpstr">
      <vt:lpstr>Ilmanvaihto</vt:lpstr>
      <vt:lpstr>PILP-laskin</vt:lpstr>
      <vt:lpstr>Hki-2012</vt:lpstr>
      <vt:lpstr>Kuva 1</vt:lpstr>
      <vt:lpstr>Kuva 2</vt:lpstr>
      <vt:lpstr>Kuva 3a</vt:lpstr>
      <vt:lpstr>Kuva 3b</vt:lpstr>
      <vt:lpstr>Kuva 4</vt:lpstr>
      <vt:lpstr>Kuva 5</vt:lpstr>
      <vt:lpstr>Laskin</vt:lpstr>
      <vt:lpstr>Taulu</vt:lpstr>
      <vt:lpstr>Tulokset</vt:lpstr>
      <vt:lpstr>'Hki-2012'!Tulostusalue</vt:lpstr>
      <vt:lpstr>Ilmanvaihto!Tulostusalue</vt:lpstr>
      <vt:lpstr>'PILP-laskin'!Tulostusalue</vt:lpstr>
    </vt:vector>
  </TitlesOfParts>
  <Manager>Rakennusneuvos</Manager>
  <Company>Ympäristöministeriö</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PILP-laskin 2017</dc:title>
  <dc:subject>Rakennuksen poistoilmalämpöpumpulla varustetun ilmanvaihdon lämmöntalteenoton vuosihyötysuhdelaskuri 2017</dc:subject>
  <dc:creator>Pekka Kalliomäki</dc:creator>
  <cp:keywords>pilp poistoilmalämöpumppu energia energiatehokkuus lämpöhäviö ilmavirta lämmöntalteenotto lto ilmanvaihto vuosihyötysuhde e-luku spf cop scop</cp:keywords>
  <cp:lastModifiedBy>Jari Aalto</cp:lastModifiedBy>
  <cp:lastPrinted>2017-12-18T14:53:00Z</cp:lastPrinted>
  <dcterms:created xsi:type="dcterms:W3CDTF">2007-12-13T09:55:09Z</dcterms:created>
  <dcterms:modified xsi:type="dcterms:W3CDTF">2025-08-01T06:32:52Z</dcterms:modified>
  <cp:category>Julkinen</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